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Orçamento" sheetId="1" r:id="rId1"/>
    <sheet name="Cronograma" sheetId="2" r:id="rId2"/>
    <sheet name="QCI" sheetId="3" r:id="rId3"/>
  </sheets>
  <externalReferences>
    <externalReference r:id="rId6"/>
    <externalReference r:id="rId7"/>
  </externalReferences>
  <definedNames>
    <definedName name="_xlnm.Print_Area" localSheetId="0">'Orçamento'!$B$106:$I$159</definedName>
    <definedName name="TotaisEscol819">(((((('[1]Orçamento'!$C$10,'[1]Orçamento'!$C$12),'[1]Orçamento'!$C$14),'[1]Orçamento'!$G$10),'[1]Orçamento'!$G$12),'[1]Orçamento'!$G$14),'[1]Orçamento'!$G$16)</definedName>
    <definedName name="TotaisEscol819___0">(((((('Orçamento'!$D$13,'Orçamento'!$D$15),'Orçamento'!$D$17),'Orçamento'!$H$13),'Orçamento'!$H$15),'Orçamento'!$H$17),'Orçamento'!$H$19)</definedName>
  </definedNames>
  <calcPr fullCalcOnLoad="1"/>
</workbook>
</file>

<file path=xl/sharedStrings.xml><?xml version="1.0" encoding="utf-8"?>
<sst xmlns="http://schemas.openxmlformats.org/spreadsheetml/2006/main" count="638" uniqueCount="371">
  <si>
    <t>ORÇAMENTO QUANTITATIVO E FINANCEIRO</t>
  </si>
  <si>
    <t>código</t>
  </si>
  <si>
    <t>Itens de serviço</t>
  </si>
  <si>
    <t>un</t>
  </si>
  <si>
    <t>Quantidade</t>
  </si>
  <si>
    <t>Custo Unit.</t>
  </si>
  <si>
    <t>Custo Total</t>
  </si>
  <si>
    <t>%</t>
  </si>
  <si>
    <t>1.0</t>
  </si>
  <si>
    <t>Limpeza do terreno</t>
  </si>
  <si>
    <t>m²</t>
  </si>
  <si>
    <t>2.0</t>
  </si>
  <si>
    <t>Instalações provisórias</t>
  </si>
  <si>
    <t>3.0</t>
  </si>
  <si>
    <t>Placa da Obra</t>
  </si>
  <si>
    <t>4.0</t>
  </si>
  <si>
    <t>Locação da Obra</t>
  </si>
  <si>
    <t>4.1</t>
  </si>
  <si>
    <t>Total do item.........................................</t>
  </si>
  <si>
    <t>..........</t>
  </si>
  <si>
    <t>...................</t>
  </si>
  <si>
    <t>....................</t>
  </si>
  <si>
    <t>5.0</t>
  </si>
  <si>
    <t>Escavações</t>
  </si>
  <si>
    <t>5.1</t>
  </si>
  <si>
    <t>escavação manual</t>
  </si>
  <si>
    <t>m³</t>
  </si>
  <si>
    <t>5.2</t>
  </si>
  <si>
    <t>reaterro manual</t>
  </si>
  <si>
    <t>5.3</t>
  </si>
  <si>
    <t>6.0</t>
  </si>
  <si>
    <t>Fundações e estrutura de concreto</t>
  </si>
  <si>
    <t>6.1</t>
  </si>
  <si>
    <t>Lastro de concreto magro</t>
  </si>
  <si>
    <t>6.1.1</t>
  </si>
  <si>
    <t>Total do sub-item.........................................</t>
  </si>
  <si>
    <t>6.2</t>
  </si>
  <si>
    <t>Nivelamento com tijolo maciço</t>
  </si>
  <si>
    <t>6.2.1</t>
  </si>
  <si>
    <t>6.3</t>
  </si>
  <si>
    <t>Sapatas, vigas baldrame e pilares</t>
  </si>
  <si>
    <t>6.3.1</t>
  </si>
  <si>
    <t>Total do sub-item.................................</t>
  </si>
  <si>
    <t>.........</t>
  </si>
  <si>
    <t>.....................</t>
  </si>
  <si>
    <t>6.4</t>
  </si>
  <si>
    <t>Impermeabilização do baldrame</t>
  </si>
  <si>
    <t>6.4.1</t>
  </si>
  <si>
    <t>6.5</t>
  </si>
  <si>
    <t>Laje e beirais com laje pré-fabricada</t>
  </si>
  <si>
    <t>6.5.1</t>
  </si>
  <si>
    <t>6.6</t>
  </si>
  <si>
    <t>Cinta de Amarração</t>
  </si>
  <si>
    <t>6.6.1</t>
  </si>
  <si>
    <t>6.7</t>
  </si>
  <si>
    <t>7.0</t>
  </si>
  <si>
    <t>Alvenaria</t>
  </si>
  <si>
    <t>7.1</t>
  </si>
  <si>
    <t xml:space="preserve">Alvenaria </t>
  </si>
  <si>
    <t>7.1.1</t>
  </si>
  <si>
    <t>8.0</t>
  </si>
  <si>
    <t>Contrapiso Impermeável</t>
  </si>
  <si>
    <t>8.1</t>
  </si>
  <si>
    <t>9.0</t>
  </si>
  <si>
    <t>Cobertura</t>
  </si>
  <si>
    <t>9.1</t>
  </si>
  <si>
    <t>Estrutura</t>
  </si>
  <si>
    <t>9.1.1</t>
  </si>
  <si>
    <t>9.2</t>
  </si>
  <si>
    <t xml:space="preserve">Cobertura telha de barro </t>
  </si>
  <si>
    <t>9.2.1</t>
  </si>
  <si>
    <t>9.3</t>
  </si>
  <si>
    <t>cumeeira</t>
  </si>
  <si>
    <t>m</t>
  </si>
  <si>
    <t>9.3.1</t>
  </si>
  <si>
    <t>10.5</t>
  </si>
  <si>
    <t>10.0</t>
  </si>
  <si>
    <t>Inst. Hidráulicas c/ Mão de Obra</t>
  </si>
  <si>
    <t>10.1</t>
  </si>
  <si>
    <t>Tubos PVC, conexões, joelhos, tee, bucha red, registros parede e registros gaveta para instalação hidráulica da obra do Posto de Saúde</t>
  </si>
  <si>
    <t>10.2</t>
  </si>
  <si>
    <t>cx. d'água 2.000L compl. e instalada</t>
  </si>
  <si>
    <t>10.3</t>
  </si>
  <si>
    <t xml:space="preserve">bacia sanitária </t>
  </si>
  <si>
    <t>10.4</t>
  </si>
  <si>
    <t>bacia sanitária para PPD's</t>
  </si>
  <si>
    <t>lavatório bancada granito 1 cuba – com coluna suspensa</t>
  </si>
  <si>
    <t>10.6</t>
  </si>
  <si>
    <t>Lavatório coluna suspensa p/ PPD's</t>
  </si>
  <si>
    <t>10.7</t>
  </si>
  <si>
    <t>cabide de louça duplo</t>
  </si>
  <si>
    <t>10.8</t>
  </si>
  <si>
    <t>papeleira de louça 15x15cm</t>
  </si>
  <si>
    <t>10.9</t>
  </si>
  <si>
    <t>sistema de barras de apoio do deficiente físico em aço com pintura eletrostática</t>
  </si>
  <si>
    <t>cj</t>
  </si>
  <si>
    <t>10.10</t>
  </si>
  <si>
    <t>pia  tampo inox  1 cuba – com balcão</t>
  </si>
  <si>
    <t>10.11</t>
  </si>
  <si>
    <t>pia  tampo inox  2 cuba – com balcão</t>
  </si>
  <si>
    <t>10.12</t>
  </si>
  <si>
    <t>pia  tampo inox  1 cuba para a cozinha – tamanho para a cozinha com balcão</t>
  </si>
  <si>
    <t>10.13</t>
  </si>
  <si>
    <t>chuveiro elétrico plástico</t>
  </si>
  <si>
    <t>10.14</t>
  </si>
  <si>
    <t>11.0</t>
  </si>
  <si>
    <t>Inst. Sanitárias c/ Mão de Obra</t>
  </si>
  <si>
    <t>11.1</t>
  </si>
  <si>
    <t>tubo PVC ríg. sold. 100mm</t>
  </si>
  <si>
    <t>11.3</t>
  </si>
  <si>
    <t>tubo PVC ríg. sold. 50mm</t>
  </si>
  <si>
    <t>11.4</t>
  </si>
  <si>
    <t>tubo PVC ríg. sold. 40mm</t>
  </si>
  <si>
    <t>11.8</t>
  </si>
  <si>
    <t>joelho 90 PVC ríg. sold. 50mm</t>
  </si>
  <si>
    <t>11.9</t>
  </si>
  <si>
    <t>joelho 90 PVC ríg. sold. 40mm</t>
  </si>
  <si>
    <t>11.13</t>
  </si>
  <si>
    <t>caixa de inspeção 50x50x50</t>
  </si>
  <si>
    <t>11.14</t>
  </si>
  <si>
    <t>caixa sifonada 150x150x50mm</t>
  </si>
  <si>
    <t>11.15</t>
  </si>
  <si>
    <t>fossa séptica de capacidade 2.415L</t>
  </si>
  <si>
    <t>11.16</t>
  </si>
  <si>
    <t>sumidouro 3,0x1,5x2,0m</t>
  </si>
  <si>
    <t>11.17</t>
  </si>
  <si>
    <t>12.0</t>
  </si>
  <si>
    <t>Inst. Elétricas c/ Mão de Obra</t>
  </si>
  <si>
    <t>12.1</t>
  </si>
  <si>
    <t>Eletrodutos e fiação de 107 pontos elétricos, disjuntores e mão-de-obra de instalação</t>
  </si>
  <si>
    <t>12.2</t>
  </si>
  <si>
    <t>interruptor simples com caixa</t>
  </si>
  <si>
    <t>12.3</t>
  </si>
  <si>
    <t>interruptor triplo com caixa</t>
  </si>
  <si>
    <t>12.4</t>
  </si>
  <si>
    <t>tomada telefone</t>
  </si>
  <si>
    <t>12.5</t>
  </si>
  <si>
    <t>tomada simples</t>
  </si>
  <si>
    <t>12.6</t>
  </si>
  <si>
    <t>tomada três pinos</t>
  </si>
  <si>
    <t>12.7</t>
  </si>
  <si>
    <t>lumin. fluorescente 2x40W</t>
  </si>
  <si>
    <t>12.8</t>
  </si>
  <si>
    <t>luminária incandescente 150W</t>
  </si>
  <si>
    <t>12.9</t>
  </si>
  <si>
    <t>quadro de distribuição 10 elementos</t>
  </si>
  <si>
    <t>12.10</t>
  </si>
  <si>
    <t>sistema de aterramento</t>
  </si>
  <si>
    <t>12.11</t>
  </si>
  <si>
    <t>13.0</t>
  </si>
  <si>
    <t>Revestimentos</t>
  </si>
  <si>
    <t>13.1</t>
  </si>
  <si>
    <t>Chapisco CI-AR 1:3</t>
  </si>
  <si>
    <t>13.1.1</t>
  </si>
  <si>
    <t>13.2</t>
  </si>
  <si>
    <t>Emboço CI-CA-AR 1:2:8</t>
  </si>
  <si>
    <t>13.2.1</t>
  </si>
  <si>
    <t>13.3</t>
  </si>
  <si>
    <t>Reboco arg. Fina 1:3 CA-AF+5%CI</t>
  </si>
  <si>
    <t>13.3.1</t>
  </si>
  <si>
    <t>13.4</t>
  </si>
  <si>
    <t>Azulejo col. c/ argamassa colante</t>
  </si>
  <si>
    <t>13.4.1</t>
  </si>
  <si>
    <t>13.5</t>
  </si>
  <si>
    <t>Pingadeira</t>
  </si>
  <si>
    <t>13.5.1</t>
  </si>
  <si>
    <t>13.6</t>
  </si>
  <si>
    <t>14.0</t>
  </si>
  <si>
    <t>Pavimentação interna</t>
  </si>
  <si>
    <t>14.1</t>
  </si>
  <si>
    <t>Piso em Cerâmica</t>
  </si>
  <si>
    <t>14.2</t>
  </si>
  <si>
    <t>15.0</t>
  </si>
  <si>
    <t>Esquadrias</t>
  </si>
  <si>
    <t>15.1</t>
  </si>
  <si>
    <t>Janelas de alumínio de correr</t>
  </si>
  <si>
    <t>15.1.1</t>
  </si>
  <si>
    <t>janelas de aluminio c/ ferragens</t>
  </si>
  <si>
    <t>15.1.4</t>
  </si>
  <si>
    <t>vidro fumê 4mm</t>
  </si>
  <si>
    <t>15.1.6</t>
  </si>
  <si>
    <t>15.2</t>
  </si>
  <si>
    <t>Portas de aluminio</t>
  </si>
  <si>
    <t>15.2.1</t>
  </si>
  <si>
    <t>porta 250x210 – abrir 2fl</t>
  </si>
  <si>
    <t>15.2.5</t>
  </si>
  <si>
    <t>15.2.6</t>
  </si>
  <si>
    <t>15.3</t>
  </si>
  <si>
    <t>Porta interna semi-oca compensado</t>
  </si>
  <si>
    <t>de madeira com ferragem - colocada</t>
  </si>
  <si>
    <t>15.3.2</t>
  </si>
  <si>
    <t>porta de 80x210cm – abrir</t>
  </si>
  <si>
    <t>15.3.6</t>
  </si>
  <si>
    <t>porta de 90x210cm c/ barra</t>
  </si>
  <si>
    <t>15.3.7</t>
  </si>
  <si>
    <t>15.4</t>
  </si>
  <si>
    <t>16.0</t>
  </si>
  <si>
    <t>Pintura</t>
  </si>
  <si>
    <t>16.1</t>
  </si>
  <si>
    <t xml:space="preserve">Pintura tinta acrílica </t>
  </si>
  <si>
    <t>16.1.1</t>
  </si>
  <si>
    <t>16.2</t>
  </si>
  <si>
    <t>Pintura tinta óleo – portas</t>
  </si>
  <si>
    <t>16.2.1</t>
  </si>
  <si>
    <t>16.3</t>
  </si>
  <si>
    <t>Pintura a base de epoxi</t>
  </si>
  <si>
    <t>16.3.1</t>
  </si>
  <si>
    <t>16.4</t>
  </si>
  <si>
    <t>17.0</t>
  </si>
  <si>
    <t xml:space="preserve">Pavimentação externa </t>
  </si>
  <si>
    <t>17.1</t>
  </si>
  <si>
    <t>Contrapiso 5cm 200kg ci/m³ alisado</t>
  </si>
  <si>
    <t>17.1.1</t>
  </si>
  <si>
    <t>18.0</t>
  </si>
  <si>
    <t>Preventivo de Incêndio/Estrutural</t>
  </si>
  <si>
    <t>18.1</t>
  </si>
  <si>
    <t xml:space="preserve">Projeto estrutural </t>
  </si>
  <si>
    <t>18.2</t>
  </si>
  <si>
    <t>Luminária de emergência - bloco autônomo 2x8W - 2 horas</t>
  </si>
  <si>
    <t>18.3</t>
  </si>
  <si>
    <t>Luminária indicativa de saída - bloco autônomo</t>
  </si>
  <si>
    <t>18.4</t>
  </si>
  <si>
    <t>Conjunto completo extintor PQS 4kg</t>
  </si>
  <si>
    <t>18.5</t>
  </si>
  <si>
    <t>19.0</t>
  </si>
  <si>
    <t>20.0</t>
  </si>
  <si>
    <t>Total Geral da Obra...........................</t>
  </si>
  <si>
    <t>.......     R$</t>
  </si>
  <si>
    <t>Claudete Skowronski Canal</t>
  </si>
  <si>
    <t>Engenheira Civil - AMOSC</t>
  </si>
  <si>
    <t>CREA/SC 63.131-9</t>
  </si>
  <si>
    <t>C R O N O G R A M A   F Í S I C O   E   F I N A N C E I R O</t>
  </si>
  <si>
    <t>Cód.</t>
  </si>
  <si>
    <r>
      <t xml:space="preserve">   </t>
    </r>
    <r>
      <rPr>
        <sz val="10"/>
        <color indexed="8"/>
        <rFont val="Arial"/>
        <family val="0"/>
      </rPr>
      <t>Itens / Meses</t>
    </r>
  </si>
  <si>
    <t xml:space="preserve">  Total</t>
  </si>
  <si>
    <t xml:space="preserve">   %</t>
  </si>
  <si>
    <t>1</t>
  </si>
  <si>
    <r>
      <t xml:space="preserve"> </t>
    </r>
    <r>
      <rPr>
        <sz val="10"/>
        <color indexed="8"/>
        <rFont val="Arial"/>
        <family val="0"/>
      </rPr>
      <t>Limpeza do terreno</t>
    </r>
  </si>
  <si>
    <t>2</t>
  </si>
  <si>
    <r>
      <t xml:space="preserve"> </t>
    </r>
    <r>
      <rPr>
        <sz val="10"/>
        <color indexed="8"/>
        <rFont val="Arial"/>
        <family val="0"/>
      </rPr>
      <t>Instalações provisórias</t>
    </r>
  </si>
  <si>
    <t>3</t>
  </si>
  <si>
    <r>
      <t xml:space="preserve"> </t>
    </r>
    <r>
      <rPr>
        <sz val="10"/>
        <color indexed="8"/>
        <rFont val="Arial"/>
        <family val="0"/>
      </rPr>
      <t>Placa da obra</t>
    </r>
  </si>
  <si>
    <t>4</t>
  </si>
  <si>
    <r>
      <t xml:space="preserve"> </t>
    </r>
    <r>
      <rPr>
        <sz val="10"/>
        <color indexed="8"/>
        <rFont val="Arial"/>
        <family val="0"/>
      </rPr>
      <t>Locação da obra</t>
    </r>
  </si>
  <si>
    <t>5</t>
  </si>
  <si>
    <r>
      <t xml:space="preserve"> </t>
    </r>
    <r>
      <rPr>
        <sz val="10"/>
        <color indexed="8"/>
        <rFont val="Arial"/>
        <family val="0"/>
      </rPr>
      <t>Escavações</t>
    </r>
  </si>
  <si>
    <t>6</t>
  </si>
  <si>
    <r>
      <t xml:space="preserve"> </t>
    </r>
    <r>
      <rPr>
        <sz val="10"/>
        <color indexed="8"/>
        <rFont val="Arial"/>
        <family val="0"/>
      </rPr>
      <t>Fund.e est.de concreto</t>
    </r>
  </si>
  <si>
    <t>7</t>
  </si>
  <si>
    <r>
      <t xml:space="preserve"> </t>
    </r>
    <r>
      <rPr>
        <sz val="10"/>
        <color indexed="8"/>
        <rFont val="Arial"/>
        <family val="0"/>
      </rPr>
      <t>Alvenaria</t>
    </r>
  </si>
  <si>
    <t>8</t>
  </si>
  <si>
    <r>
      <t xml:space="preserve"> </t>
    </r>
    <r>
      <rPr>
        <sz val="10"/>
        <color indexed="8"/>
        <rFont val="Arial"/>
        <family val="0"/>
      </rPr>
      <t>Contrapiso</t>
    </r>
  </si>
  <si>
    <t>9</t>
  </si>
  <si>
    <r>
      <t xml:space="preserve"> </t>
    </r>
    <r>
      <rPr>
        <sz val="10"/>
        <color indexed="8"/>
        <rFont val="Arial"/>
        <family val="0"/>
      </rPr>
      <t>Cobertura</t>
    </r>
  </si>
  <si>
    <t>10</t>
  </si>
  <si>
    <r>
      <t xml:space="preserve"> </t>
    </r>
    <r>
      <rPr>
        <sz val="10"/>
        <color indexed="8"/>
        <rFont val="Arial"/>
        <family val="0"/>
      </rPr>
      <t>Instalações hidráulicas</t>
    </r>
  </si>
  <si>
    <t>11</t>
  </si>
  <si>
    <r>
      <t xml:space="preserve"> </t>
    </r>
    <r>
      <rPr>
        <sz val="10"/>
        <color indexed="8"/>
        <rFont val="Arial"/>
        <family val="0"/>
      </rPr>
      <t>Instalações sanitárias</t>
    </r>
  </si>
  <si>
    <t>12</t>
  </si>
  <si>
    <r>
      <t xml:space="preserve"> </t>
    </r>
    <r>
      <rPr>
        <sz val="10"/>
        <color indexed="8"/>
        <rFont val="Arial"/>
        <family val="0"/>
      </rPr>
      <t>Instalações elétricas</t>
    </r>
  </si>
  <si>
    <t>13</t>
  </si>
  <si>
    <r>
      <t xml:space="preserve"> </t>
    </r>
    <r>
      <rPr>
        <sz val="10"/>
        <color indexed="8"/>
        <rFont val="Arial"/>
        <family val="0"/>
      </rPr>
      <t>Revestimentos</t>
    </r>
  </si>
  <si>
    <t>14</t>
  </si>
  <si>
    <r>
      <t xml:space="preserve"> </t>
    </r>
    <r>
      <rPr>
        <sz val="10"/>
        <color indexed="8"/>
        <rFont val="Arial"/>
        <family val="0"/>
      </rPr>
      <t>Pavimentação interna</t>
    </r>
  </si>
  <si>
    <t>15</t>
  </si>
  <si>
    <r>
      <t xml:space="preserve"> </t>
    </r>
    <r>
      <rPr>
        <sz val="10"/>
        <color indexed="8"/>
        <rFont val="Arial"/>
        <family val="0"/>
      </rPr>
      <t>Esquadrias</t>
    </r>
  </si>
  <si>
    <t>16</t>
  </si>
  <si>
    <t xml:space="preserve"> Pintura</t>
  </si>
  <si>
    <t>17</t>
  </si>
  <si>
    <r>
      <t xml:space="preserve"> </t>
    </r>
    <r>
      <rPr>
        <sz val="10"/>
        <color indexed="8"/>
        <rFont val="Arial"/>
        <family val="0"/>
      </rPr>
      <t>Pavimentação externa</t>
    </r>
  </si>
  <si>
    <t>18</t>
  </si>
  <si>
    <r>
      <t xml:space="preserve"> </t>
    </r>
    <r>
      <rPr>
        <sz val="10"/>
        <color indexed="8"/>
        <rFont val="Arial"/>
        <family val="0"/>
      </rPr>
      <t>Drenagem pluvial</t>
    </r>
  </si>
  <si>
    <t>19</t>
  </si>
  <si>
    <r>
      <t xml:space="preserve"> </t>
    </r>
    <r>
      <rPr>
        <sz val="10"/>
        <color indexed="8"/>
        <rFont val="Arial"/>
        <family val="0"/>
      </rPr>
      <t>Limpeza geral</t>
    </r>
  </si>
  <si>
    <t xml:space="preserve"> TOTAL SIMPLES</t>
  </si>
  <si>
    <r>
      <t xml:space="preserve"> </t>
    </r>
    <r>
      <rPr>
        <b/>
        <sz val="10"/>
        <color indexed="8"/>
        <rFont val="Arial"/>
        <family val="0"/>
      </rPr>
      <t>TOTAL ACUMULADO</t>
    </r>
  </si>
  <si>
    <t>QCI - QUADRO DE COMPOSIÇÃO DO INVESTIMENTO</t>
  </si>
  <si>
    <t>Agente Promotor / Proponente</t>
  </si>
  <si>
    <t>PREFEITURA MUNICIPAL DE NOVA ERECHIM</t>
  </si>
  <si>
    <t>Empreendimento</t>
  </si>
  <si>
    <t>Pavimentação com pedras irregulares</t>
  </si>
  <si>
    <t>N° do Item</t>
  </si>
  <si>
    <t xml:space="preserve">Descrição </t>
  </si>
  <si>
    <t>Unid.</t>
  </si>
  <si>
    <t>Quant.</t>
  </si>
  <si>
    <t>Repasse</t>
  </si>
  <si>
    <t>Contrapartida</t>
  </si>
  <si>
    <t>Outras Fontes</t>
  </si>
  <si>
    <t>Total</t>
  </si>
  <si>
    <t>INC.</t>
  </si>
  <si>
    <t>Financeira</t>
  </si>
  <si>
    <t>Física</t>
  </si>
  <si>
    <t>REPASSE</t>
  </si>
  <si>
    <t>CP FINANCEIRA</t>
  </si>
  <si>
    <t>CP FÍSICA</t>
  </si>
  <si>
    <t>ORÇAMENTO</t>
  </si>
  <si>
    <t>0 - Maior entre "excl. outras fontes" e "outras fontes"</t>
  </si>
  <si>
    <t xml:space="preserve">Valor da CEF = </t>
  </si>
  <si>
    <t>EXCL. REPASSE</t>
  </si>
  <si>
    <t>1 - Soma cont. exclusiva</t>
  </si>
  <si>
    <t xml:space="preserve">Valor da PM = </t>
  </si>
  <si>
    <t>EXCL. CONTRAP. $</t>
  </si>
  <si>
    <t>2 - Soma de "0" e "1"</t>
  </si>
  <si>
    <t xml:space="preserve">Total = </t>
  </si>
  <si>
    <t>EXCL. CONTRAP. FÍSICA</t>
  </si>
  <si>
    <t>3 - Menor entre "cont. mín. %" e "cont. ad. %"</t>
  </si>
  <si>
    <t>EXCL. OUTRAS F.</t>
  </si>
  <si>
    <t>4 - Maior entre "3" e "cont. min. $"</t>
  </si>
  <si>
    <t>5 - Maior entre "1" e "4"</t>
  </si>
  <si>
    <t>CP MIN. %</t>
  </si>
  <si>
    <t>6 - Maior entre "2" e "5"</t>
  </si>
  <si>
    <t xml:space="preserve">OUTRAS FONTES </t>
  </si>
  <si>
    <t>8 - Maior entre "7" e "orç"-"rep."</t>
  </si>
  <si>
    <t>CONTRAP. $</t>
  </si>
  <si>
    <t>CONTRAP. FÍSICA</t>
  </si>
  <si>
    <t>OUTRAS F.</t>
  </si>
  <si>
    <t>TOTAL</t>
  </si>
  <si>
    <t>TOTAIS</t>
  </si>
  <si>
    <t>Nova Erechim - SC, 08/07/2009</t>
  </si>
  <si>
    <t>LOCAL E DATA</t>
  </si>
  <si>
    <t>Assinatura, sob carimbo, do responsável técnico/engenheiro</t>
  </si>
  <si>
    <t>Assinatura, sob carimbo, do representante legal Contratado</t>
  </si>
  <si>
    <t>Projeto: Unidade Sanitária</t>
  </si>
  <si>
    <t>Área: 263,25 m²</t>
  </si>
  <si>
    <t>Município: SAUDADES / SC</t>
  </si>
  <si>
    <t>Local: Distrito Juvêncio</t>
  </si>
  <si>
    <t>BDI=25%</t>
  </si>
  <si>
    <t>Item</t>
  </si>
  <si>
    <t>Cód. Sinapi</t>
  </si>
  <si>
    <t>73948/016</t>
  </si>
  <si>
    <t>und</t>
  </si>
  <si>
    <t>m2</t>
  </si>
  <si>
    <t>73964/006</t>
  </si>
  <si>
    <t>73971/001</t>
  </si>
  <si>
    <t>74202/001</t>
  </si>
  <si>
    <t>74099/001</t>
  </si>
  <si>
    <t>73935/005</t>
  </si>
  <si>
    <t>73919/001</t>
  </si>
  <si>
    <t>73931/003</t>
  </si>
  <si>
    <t>73938/002</t>
  </si>
  <si>
    <t>74101/001</t>
  </si>
  <si>
    <t>73947/002</t>
  </si>
  <si>
    <t>74050/001</t>
  </si>
  <si>
    <t>74050/002</t>
  </si>
  <si>
    <t>74186/001</t>
  </si>
  <si>
    <t>74188/001</t>
  </si>
  <si>
    <t>74165/001</t>
  </si>
  <si>
    <t>74104/001</t>
  </si>
  <si>
    <t>74198/001</t>
  </si>
  <si>
    <t>73953/006</t>
  </si>
  <si>
    <t>74247/001</t>
  </si>
  <si>
    <t>74161/001</t>
  </si>
  <si>
    <t>73927/008</t>
  </si>
  <si>
    <t>73925/002</t>
  </si>
  <si>
    <t>73946/001</t>
  </si>
  <si>
    <t>74067/001</t>
  </si>
  <si>
    <t>73910/005</t>
  </si>
  <si>
    <t>73910/010</t>
  </si>
  <si>
    <t>73954/003</t>
  </si>
  <si>
    <t>73872/002</t>
  </si>
  <si>
    <t>73907/001</t>
  </si>
  <si>
    <t>73775/001</t>
  </si>
  <si>
    <t>BDI embutido – 25%</t>
  </si>
  <si>
    <t>Saudades, 05 de março de 2010.</t>
  </si>
  <si>
    <t>Limpeza. Da Obra</t>
  </si>
  <si>
    <t>73962/024</t>
  </si>
  <si>
    <t>Valor retirados da Planilha Sinapi.</t>
  </si>
  <si>
    <t>Marlize C. K. Todescatto</t>
  </si>
  <si>
    <t>Arquiteta &amp; Urbanista - AMERIOS</t>
  </si>
  <si>
    <t>CREA/SC 44.141-7</t>
  </si>
  <si>
    <t>9.3.4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</si>
</sst>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;\(#,##0.000\);\-#"/>
    <numFmt numFmtId="165" formatCode="#,##0.00;\(#,##0.00\);\-#"/>
    <numFmt numFmtId="166" formatCode="dd/mm/yy"/>
    <numFmt numFmtId="167" formatCode="&quot; R$ &quot;#,##0.00\ ;&quot; R$ (&quot;#,##0.00\);&quot; R$ -&quot;#\ ;@\ "/>
    <numFmt numFmtId="168" formatCode="#,##0.000000"/>
    <numFmt numFmtId="169" formatCode="#,##0.00\ ;&quot; (&quot;#,##0.00\);&quot; -&quot;#\ ;@\ 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5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msmincho"/>
      <family val="0"/>
    </font>
    <font>
      <b/>
      <sz val="10"/>
      <color indexed="8"/>
      <name val="msmincho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sz val="6"/>
      <name val="Arial"/>
      <family val="0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8" fillId="0" borderId="0" applyFill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19" fillId="0" borderId="0" xfId="0" applyNumberFormat="1" applyFont="1" applyBorder="1" applyAlignment="1" applyProtection="1">
      <alignment/>
      <protection/>
    </xf>
    <xf numFmtId="0" fontId="19" fillId="0" borderId="10" xfId="0" applyNumberFormat="1" applyFont="1" applyBorder="1" applyAlignment="1" applyProtection="1">
      <alignment/>
      <protection/>
    </xf>
    <xf numFmtId="0" fontId="20" fillId="0" borderId="0" xfId="0" applyNumberFormat="1" applyFont="1" applyBorder="1" applyAlignment="1" applyProtection="1">
      <alignment/>
      <protection/>
    </xf>
    <xf numFmtId="0" fontId="20" fillId="0" borderId="11" xfId="0" applyNumberFormat="1" applyFont="1" applyBorder="1" applyAlignment="1" applyProtection="1">
      <alignment horizontal="center"/>
      <protection/>
    </xf>
    <xf numFmtId="0" fontId="20" fillId="0" borderId="11" xfId="0" applyNumberFormat="1" applyFont="1" applyBorder="1" applyAlignment="1" applyProtection="1">
      <alignment horizontal="center"/>
      <protection/>
    </xf>
    <xf numFmtId="0" fontId="22" fillId="0" borderId="12" xfId="0" applyNumberFormat="1" applyFont="1" applyBorder="1" applyAlignment="1" applyProtection="1">
      <alignment horizontal="center"/>
      <protection/>
    </xf>
    <xf numFmtId="0" fontId="20" fillId="0" borderId="13" xfId="0" applyNumberFormat="1" applyFont="1" applyBorder="1" applyAlignment="1" applyProtection="1">
      <alignment horizontal="center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22" fillId="0" borderId="13" xfId="0" applyNumberFormat="1" applyFont="1" applyBorder="1" applyAlignment="1" applyProtection="1">
      <alignment horizontal="center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20" fillId="0" borderId="14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0" fontId="23" fillId="0" borderId="13" xfId="0" applyNumberFormat="1" applyFont="1" applyBorder="1" applyAlignment="1" applyProtection="1">
      <alignment/>
      <protection/>
    </xf>
    <xf numFmtId="4" fontId="20" fillId="0" borderId="13" xfId="0" applyNumberFormat="1" applyFont="1" applyBorder="1" applyAlignment="1" applyProtection="1">
      <alignment horizontal="right"/>
      <protection/>
    </xf>
    <xf numFmtId="4" fontId="20" fillId="0" borderId="0" xfId="0" applyNumberFormat="1" applyFont="1" applyBorder="1" applyAlignment="1" applyProtection="1">
      <alignment/>
      <protection/>
    </xf>
    <xf numFmtId="4" fontId="23" fillId="0" borderId="13" xfId="0" applyNumberFormat="1" applyFont="1" applyBorder="1" applyAlignment="1" applyProtection="1">
      <alignment/>
      <protection/>
    </xf>
    <xf numFmtId="4" fontId="23" fillId="0" borderId="14" xfId="0" applyNumberFormat="1" applyFont="1" applyBorder="1" applyAlignment="1" applyProtection="1">
      <alignment/>
      <protection/>
    </xf>
    <xf numFmtId="0" fontId="20" fillId="0" borderId="12" xfId="0" applyNumberFormat="1" applyFont="1" applyBorder="1" applyAlignment="1" applyProtection="1">
      <alignment horizontal="center"/>
      <protection/>
    </xf>
    <xf numFmtId="0" fontId="22" fillId="0" borderId="13" xfId="0" applyNumberFormat="1" applyFont="1" applyBorder="1" applyAlignment="1" applyProtection="1">
      <alignment/>
      <protection/>
    </xf>
    <xf numFmtId="0" fontId="20" fillId="0" borderId="13" xfId="0" applyNumberFormat="1" applyFont="1" applyBorder="1" applyAlignment="1" applyProtection="1">
      <alignment/>
      <protection/>
    </xf>
    <xf numFmtId="4" fontId="20" fillId="0" borderId="14" xfId="0" applyNumberFormat="1" applyFont="1" applyBorder="1" applyAlignment="1" applyProtection="1">
      <alignment/>
      <protection/>
    </xf>
    <xf numFmtId="4" fontId="20" fillId="0" borderId="13" xfId="0" applyNumberFormat="1" applyFont="1" applyBorder="1" applyAlignment="1" applyProtection="1">
      <alignment/>
      <protection/>
    </xf>
    <xf numFmtId="166" fontId="20" fillId="0" borderId="12" xfId="0" applyNumberFormat="1" applyFont="1" applyBorder="1" applyAlignment="1" applyProtection="1">
      <alignment horizontal="center"/>
      <protection/>
    </xf>
    <xf numFmtId="0" fontId="20" fillId="0" borderId="13" xfId="0" applyNumberFormat="1" applyFont="1" applyBorder="1" applyAlignment="1" applyProtection="1">
      <alignment/>
      <protection/>
    </xf>
    <xf numFmtId="4" fontId="20" fillId="0" borderId="13" xfId="0" applyNumberFormat="1" applyFont="1" applyBorder="1" applyAlignment="1" applyProtection="1">
      <alignment/>
      <protection/>
    </xf>
    <xf numFmtId="0" fontId="20" fillId="0" borderId="12" xfId="0" applyNumberFormat="1" applyFont="1" applyBorder="1" applyAlignment="1" applyProtection="1">
      <alignment horizontal="center"/>
      <protection/>
    </xf>
    <xf numFmtId="0" fontId="20" fillId="0" borderId="14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105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20" fillId="0" borderId="15" xfId="0" applyNumberFormat="1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105" applyNumberFormat="1" applyFont="1" applyFill="1" applyBorder="1" applyAlignment="1" applyProtection="1">
      <alignment/>
      <protection/>
    </xf>
    <xf numFmtId="4" fontId="20" fillId="0" borderId="18" xfId="0" applyNumberFormat="1" applyFont="1" applyBorder="1" applyAlignment="1" applyProtection="1">
      <alignment/>
      <protection/>
    </xf>
    <xf numFmtId="0" fontId="20" fillId="0" borderId="13" xfId="0" applyNumberFormat="1" applyFont="1" applyBorder="1" applyAlignment="1" applyProtection="1">
      <alignment horizontal="justify"/>
      <protection/>
    </xf>
    <xf numFmtId="0" fontId="20" fillId="0" borderId="16" xfId="0" applyNumberFormat="1" applyFont="1" applyBorder="1" applyAlignment="1" applyProtection="1">
      <alignment/>
      <protection/>
    </xf>
    <xf numFmtId="0" fontId="20" fillId="0" borderId="17" xfId="0" applyNumberFormat="1" applyFont="1" applyBorder="1" applyAlignment="1" applyProtection="1">
      <alignment horizontal="center"/>
      <protection/>
    </xf>
    <xf numFmtId="4" fontId="20" fillId="0" borderId="16" xfId="0" applyNumberFormat="1" applyFont="1" applyBorder="1" applyAlignment="1" applyProtection="1">
      <alignment/>
      <protection/>
    </xf>
    <xf numFmtId="4" fontId="20" fillId="0" borderId="17" xfId="0" applyNumberFormat="1" applyFont="1" applyBorder="1" applyAlignment="1" applyProtection="1">
      <alignment/>
      <protection/>
    </xf>
    <xf numFmtId="2" fontId="20" fillId="0" borderId="13" xfId="0" applyNumberFormat="1" applyFont="1" applyBorder="1" applyAlignment="1" applyProtection="1">
      <alignment/>
      <protection/>
    </xf>
    <xf numFmtId="0" fontId="20" fillId="0" borderId="19" xfId="0" applyNumberFormat="1" applyFont="1" applyBorder="1" applyAlignment="1" applyProtection="1">
      <alignment horizontal="center"/>
      <protection/>
    </xf>
    <xf numFmtId="4" fontId="23" fillId="0" borderId="20" xfId="0" applyNumberFormat="1" applyFont="1" applyBorder="1" applyAlignment="1" applyProtection="1">
      <alignment/>
      <protection/>
    </xf>
    <xf numFmtId="0" fontId="20" fillId="0" borderId="12" xfId="0" applyNumberFormat="1" applyFont="1" applyBorder="1" applyAlignment="1" applyProtection="1">
      <alignment/>
      <protection/>
    </xf>
    <xf numFmtId="0" fontId="20" fillId="0" borderId="15" xfId="0" applyNumberFormat="1" applyFont="1" applyBorder="1" applyAlignment="1" applyProtection="1">
      <alignment/>
      <protection/>
    </xf>
    <xf numFmtId="0" fontId="20" fillId="0" borderId="17" xfId="0" applyNumberFormat="1" applyFont="1" applyBorder="1" applyAlignment="1" applyProtection="1">
      <alignment/>
      <protection/>
    </xf>
    <xf numFmtId="0" fontId="20" fillId="0" borderId="18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0" fillId="0" borderId="13" xfId="0" applyNumberFormat="1" applyFont="1" applyBorder="1" applyAlignment="1" applyProtection="1">
      <alignment horizontal="justify"/>
      <protection/>
    </xf>
    <xf numFmtId="4" fontId="23" fillId="0" borderId="13" xfId="0" applyNumberFormat="1" applyFont="1" applyBorder="1" applyAlignment="1" applyProtection="1">
      <alignment/>
      <protection/>
    </xf>
    <xf numFmtId="0" fontId="23" fillId="0" borderId="0" xfId="0" applyNumberFormat="1" applyFont="1" applyBorder="1" applyAlignment="1" applyProtection="1">
      <alignment horizontal="center"/>
      <protection/>
    </xf>
    <xf numFmtId="4" fontId="23" fillId="0" borderId="0" xfId="0" applyNumberFormat="1" applyFont="1" applyBorder="1" applyAlignment="1" applyProtection="1">
      <alignment/>
      <protection/>
    </xf>
    <xf numFmtId="4" fontId="23" fillId="0" borderId="21" xfId="0" applyNumberFormat="1" applyFont="1" applyBorder="1" applyAlignment="1" applyProtection="1">
      <alignment/>
      <protection/>
    </xf>
    <xf numFmtId="0" fontId="20" fillId="0" borderId="22" xfId="0" applyNumberFormat="1" applyFont="1" applyBorder="1" applyAlignment="1" applyProtection="1">
      <alignment horizontal="center"/>
      <protection/>
    </xf>
    <xf numFmtId="0" fontId="20" fillId="0" borderId="23" xfId="0" applyNumberFormat="1" applyFont="1" applyBorder="1" applyAlignment="1" applyProtection="1">
      <alignment/>
      <protection/>
    </xf>
    <xf numFmtId="0" fontId="20" fillId="0" borderId="24" xfId="0" applyNumberFormat="1" applyFont="1" applyBorder="1" applyAlignment="1" applyProtection="1">
      <alignment/>
      <protection/>
    </xf>
    <xf numFmtId="4" fontId="20" fillId="0" borderId="25" xfId="0" applyNumberFormat="1" applyFont="1" applyBorder="1" applyAlignment="1" applyProtection="1">
      <alignment/>
      <protection/>
    </xf>
    <xf numFmtId="0" fontId="20" fillId="0" borderId="26" xfId="0" applyNumberFormat="1" applyFont="1" applyBorder="1" applyAlignment="1" applyProtection="1">
      <alignment/>
      <protection/>
    </xf>
    <xf numFmtId="0" fontId="20" fillId="0" borderId="27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0" fontId="20" fillId="0" borderId="28" xfId="0" applyNumberFormat="1" applyFont="1" applyBorder="1" applyAlignment="1" applyProtection="1">
      <alignment/>
      <protection/>
    </xf>
    <xf numFmtId="0" fontId="23" fillId="0" borderId="22" xfId="0" applyNumberFormat="1" applyFont="1" applyBorder="1" applyAlignment="1" applyProtection="1">
      <alignment/>
      <protection/>
    </xf>
    <xf numFmtId="0" fontId="23" fillId="0" borderId="24" xfId="0" applyNumberFormat="1" applyFont="1" applyBorder="1" applyAlignment="1" applyProtection="1">
      <alignment/>
      <protection/>
    </xf>
    <xf numFmtId="0" fontId="20" fillId="0" borderId="25" xfId="0" applyNumberFormat="1" applyFont="1" applyBorder="1" applyAlignment="1" applyProtection="1">
      <alignment/>
      <protection/>
    </xf>
    <xf numFmtId="0" fontId="20" fillId="0" borderId="29" xfId="0" applyNumberFormat="1" applyFont="1" applyBorder="1" applyAlignment="1" applyProtection="1">
      <alignment/>
      <protection/>
    </xf>
    <xf numFmtId="0" fontId="24" fillId="0" borderId="30" xfId="0" applyNumberFormat="1" applyFont="1" applyBorder="1" applyAlignment="1" applyProtection="1">
      <alignment/>
      <protection/>
    </xf>
    <xf numFmtId="0" fontId="20" fillId="0" borderId="30" xfId="0" applyNumberFormat="1" applyFont="1" applyBorder="1" applyAlignment="1" applyProtection="1">
      <alignment horizontal="center"/>
      <protection/>
    </xf>
    <xf numFmtId="0" fontId="23" fillId="0" borderId="30" xfId="0" applyNumberFormat="1" applyFont="1" applyBorder="1" applyAlignment="1" applyProtection="1">
      <alignment/>
      <protection/>
    </xf>
    <xf numFmtId="0" fontId="23" fillId="0" borderId="31" xfId="0" applyNumberFormat="1" applyFont="1" applyBorder="1" applyAlignment="1" applyProtection="1">
      <alignment/>
      <protection/>
    </xf>
    <xf numFmtId="0" fontId="20" fillId="0" borderId="32" xfId="0" applyNumberFormat="1" applyFont="1" applyBorder="1" applyAlignment="1" applyProtection="1">
      <alignment/>
      <protection/>
    </xf>
    <xf numFmtId="0" fontId="20" fillId="0" borderId="33" xfId="0" applyNumberFormat="1" applyFont="1" applyBorder="1" applyAlignment="1" applyProtection="1">
      <alignment/>
      <protection/>
    </xf>
    <xf numFmtId="0" fontId="20" fillId="0" borderId="33" xfId="0" applyNumberFormat="1" applyFont="1" applyBorder="1" applyAlignment="1" applyProtection="1">
      <alignment horizontal="center"/>
      <protection/>
    </xf>
    <xf numFmtId="4" fontId="23" fillId="0" borderId="33" xfId="0" applyNumberFormat="1" applyFont="1" applyBorder="1" applyAlignment="1" applyProtection="1">
      <alignment/>
      <protection/>
    </xf>
    <xf numFmtId="0" fontId="23" fillId="0" borderId="34" xfId="0" applyNumberFormat="1" applyFont="1" applyBorder="1" applyAlignment="1" applyProtection="1">
      <alignment/>
      <protection/>
    </xf>
    <xf numFmtId="0" fontId="20" fillId="0" borderId="32" xfId="0" applyNumberFormat="1" applyFont="1" applyBorder="1" applyAlignment="1" applyProtection="1">
      <alignment horizontal="center"/>
      <protection/>
    </xf>
    <xf numFmtId="0" fontId="24" fillId="0" borderId="33" xfId="0" applyNumberFormat="1" applyFont="1" applyBorder="1" applyAlignment="1" applyProtection="1">
      <alignment/>
      <protection/>
    </xf>
    <xf numFmtId="4" fontId="20" fillId="0" borderId="33" xfId="0" applyNumberFormat="1" applyFont="1" applyBorder="1" applyAlignment="1" applyProtection="1">
      <alignment/>
      <protection/>
    </xf>
    <xf numFmtId="4" fontId="20" fillId="0" borderId="34" xfId="0" applyNumberFormat="1" applyFont="1" applyBorder="1" applyAlignment="1" applyProtection="1">
      <alignment/>
      <protection/>
    </xf>
    <xf numFmtId="0" fontId="23" fillId="0" borderId="33" xfId="0" applyNumberFormat="1" applyFont="1" applyBorder="1" applyAlignment="1" applyProtection="1">
      <alignment/>
      <protection/>
    </xf>
    <xf numFmtId="0" fontId="20" fillId="0" borderId="35" xfId="0" applyNumberFormat="1" applyFont="1" applyBorder="1" applyAlignment="1" applyProtection="1">
      <alignment/>
      <protection/>
    </xf>
    <xf numFmtId="0" fontId="25" fillId="0" borderId="36" xfId="0" applyNumberFormat="1" applyFont="1" applyBorder="1" applyAlignment="1" applyProtection="1">
      <alignment/>
      <protection/>
    </xf>
    <xf numFmtId="4" fontId="20" fillId="0" borderId="36" xfId="0" applyNumberFormat="1" applyFont="1" applyBorder="1" applyAlignment="1" applyProtection="1">
      <alignment/>
      <protection/>
    </xf>
    <xf numFmtId="4" fontId="20" fillId="0" borderId="37" xfId="0" applyNumberFormat="1" applyFont="1" applyBorder="1" applyAlignment="1" applyProtection="1">
      <alignment/>
      <protection/>
    </xf>
    <xf numFmtId="0" fontId="26" fillId="0" borderId="0" xfId="0" applyFont="1" applyFill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26" fillId="0" borderId="0" xfId="0" applyFont="1" applyAlignment="1">
      <alignment/>
    </xf>
    <xf numFmtId="0" fontId="27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49" fontId="29" fillId="0" borderId="0" xfId="0" applyNumberFormat="1" applyFont="1" applyFill="1" applyBorder="1" applyAlignment="1" applyProtection="1">
      <alignment vertical="center"/>
      <protection locked="0"/>
    </xf>
    <xf numFmtId="49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49" fontId="2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29" fillId="0" borderId="0" xfId="0" applyNumberFormat="1" applyFont="1" applyBorder="1" applyAlignment="1" applyProtection="1">
      <alignment horizontal="left" vertical="center"/>
      <protection locked="0"/>
    </xf>
    <xf numFmtId="0" fontId="29" fillId="0" borderId="0" xfId="0" applyNumberFormat="1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4" fontId="26" fillId="0" borderId="40" xfId="0" applyNumberFormat="1" applyFont="1" applyBorder="1" applyAlignment="1" applyProtection="1">
      <alignment vertical="center"/>
      <protection locked="0"/>
    </xf>
    <xf numFmtId="0" fontId="26" fillId="15" borderId="0" xfId="0" applyFont="1" applyFill="1" applyAlignment="1" applyProtection="1">
      <alignment vertical="center"/>
      <protection locked="0"/>
    </xf>
    <xf numFmtId="2" fontId="26" fillId="0" borderId="0" xfId="0" applyNumberFormat="1" applyFont="1" applyAlignment="1" applyProtection="1">
      <alignment horizontal="center" vertical="center"/>
      <protection locked="0"/>
    </xf>
    <xf numFmtId="4" fontId="30" fillId="0" borderId="33" xfId="0" applyNumberFormat="1" applyFont="1" applyBorder="1" applyAlignment="1" applyProtection="1">
      <alignment vertical="center"/>
      <protection locked="0"/>
    </xf>
    <xf numFmtId="4" fontId="30" fillId="0" borderId="34" xfId="0" applyNumberFormat="1" applyFont="1" applyBorder="1" applyAlignment="1" applyProtection="1">
      <alignment vertical="center"/>
      <protection locked="0"/>
    </xf>
    <xf numFmtId="0" fontId="26" fillId="15" borderId="41" xfId="0" applyFont="1" applyFill="1" applyBorder="1" applyAlignment="1" applyProtection="1">
      <alignment vertical="center"/>
      <protection locked="0"/>
    </xf>
    <xf numFmtId="4" fontId="26" fillId="15" borderId="42" xfId="0" applyNumberFormat="1" applyFont="1" applyFill="1" applyBorder="1" applyAlignment="1" applyProtection="1">
      <alignment vertical="center"/>
      <protection locked="0"/>
    </xf>
    <xf numFmtId="4" fontId="26" fillId="0" borderId="0" xfId="0" applyNumberFormat="1" applyFont="1" applyAlignment="1" applyProtection="1">
      <alignment vertical="center"/>
      <protection locked="0"/>
    </xf>
    <xf numFmtId="4" fontId="26" fillId="15" borderId="11" xfId="0" applyNumberFormat="1" applyFont="1" applyFill="1" applyBorder="1" applyAlignment="1" applyProtection="1">
      <alignment vertical="center"/>
      <protection locked="0"/>
    </xf>
    <xf numFmtId="0" fontId="26" fillId="15" borderId="0" xfId="0" applyFont="1" applyFill="1" applyAlignment="1" applyProtection="1">
      <alignment/>
      <protection locked="0"/>
    </xf>
    <xf numFmtId="10" fontId="26" fillId="0" borderId="0" xfId="0" applyNumberFormat="1" applyFont="1" applyAlignment="1" applyProtection="1">
      <alignment vertical="center"/>
      <protection locked="0"/>
    </xf>
    <xf numFmtId="4" fontId="26" fillId="15" borderId="22" xfId="0" applyNumberFormat="1" applyFont="1" applyFill="1" applyBorder="1" applyAlignment="1" applyProtection="1">
      <alignment vertical="center"/>
      <protection locked="0"/>
    </xf>
    <xf numFmtId="4" fontId="26" fillId="15" borderId="25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/>
      <protection locked="0"/>
    </xf>
    <xf numFmtId="4" fontId="26" fillId="15" borderId="11" xfId="0" applyNumberFormat="1" applyFont="1" applyFill="1" applyBorder="1" applyAlignment="1" applyProtection="1">
      <alignment horizontal="right" vertical="center"/>
      <protection locked="0"/>
    </xf>
    <xf numFmtId="4" fontId="26" fillId="15" borderId="41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6" fillId="15" borderId="0" xfId="0" applyFont="1" applyFill="1" applyAlignment="1" applyProtection="1">
      <alignment vertical="center"/>
      <protection locked="0"/>
    </xf>
    <xf numFmtId="4" fontId="26" fillId="15" borderId="26" xfId="0" applyNumberFormat="1" applyFont="1" applyFill="1" applyBorder="1" applyAlignment="1" applyProtection="1">
      <alignment vertical="center"/>
      <protection locked="0"/>
    </xf>
    <xf numFmtId="4" fontId="26" fillId="15" borderId="28" xfId="0" applyNumberFormat="1" applyFont="1" applyFill="1" applyBorder="1" applyAlignment="1" applyProtection="1">
      <alignment vertical="center"/>
      <protection locked="0"/>
    </xf>
    <xf numFmtId="4" fontId="26" fillId="15" borderId="43" xfId="0" applyNumberFormat="1" applyFont="1" applyFill="1" applyBorder="1" applyAlignment="1" applyProtection="1">
      <alignment vertical="center"/>
      <protection locked="0"/>
    </xf>
    <xf numFmtId="4" fontId="26" fillId="15" borderId="41" xfId="0" applyNumberFormat="1" applyFont="1" applyFill="1" applyBorder="1" applyAlignment="1" applyProtection="1">
      <alignment vertical="center"/>
      <protection locked="0"/>
    </xf>
    <xf numFmtId="4" fontId="28" fillId="15" borderId="41" xfId="0" applyNumberFormat="1" applyFont="1" applyFill="1" applyBorder="1" applyAlignment="1" applyProtection="1">
      <alignment vertical="center"/>
      <protection locked="0"/>
    </xf>
    <xf numFmtId="4" fontId="28" fillId="15" borderId="42" xfId="0" applyNumberFormat="1" applyFont="1" applyFill="1" applyBorder="1" applyAlignment="1" applyProtection="1">
      <alignment vertical="center"/>
      <protection locked="0"/>
    </xf>
    <xf numFmtId="4" fontId="28" fillId="15" borderId="11" xfId="0" applyNumberFormat="1" applyFont="1" applyFill="1" applyBorder="1" applyAlignment="1" applyProtection="1">
      <alignment vertical="center"/>
      <protection locked="0"/>
    </xf>
    <xf numFmtId="168" fontId="26" fillId="15" borderId="11" xfId="0" applyNumberFormat="1" applyFont="1" applyFill="1" applyBorder="1" applyAlignment="1" applyProtection="1">
      <alignment vertical="center"/>
      <protection locked="0"/>
    </xf>
    <xf numFmtId="169" fontId="26" fillId="0" borderId="0" xfId="118" applyFont="1" applyFill="1" applyBorder="1" applyAlignment="1" applyProtection="1">
      <alignment vertical="center"/>
      <protection locked="0"/>
    </xf>
    <xf numFmtId="169" fontId="26" fillId="0" borderId="0" xfId="118" applyFont="1" applyFill="1" applyBorder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68" fontId="28" fillId="15" borderId="11" xfId="0" applyNumberFormat="1" applyFont="1" applyFill="1" applyBorder="1" applyAlignment="1" applyProtection="1">
      <alignment vertical="center"/>
      <protection locked="0"/>
    </xf>
    <xf numFmtId="4" fontId="26" fillId="0" borderId="0" xfId="0" applyNumberFormat="1" applyFont="1" applyFill="1" applyAlignment="1" applyProtection="1">
      <alignment vertical="center"/>
      <protection locked="0"/>
    </xf>
    <xf numFmtId="4" fontId="26" fillId="0" borderId="0" xfId="0" applyNumberFormat="1" applyFont="1" applyFill="1" applyAlignment="1" applyProtection="1">
      <alignment vertical="center"/>
      <protection locked="0"/>
    </xf>
    <xf numFmtId="4" fontId="26" fillId="0" borderId="0" xfId="0" applyNumberFormat="1" applyFont="1" applyFill="1" applyAlignment="1" applyProtection="1">
      <alignment horizontal="left" vertical="center"/>
      <protection locked="0"/>
    </xf>
    <xf numFmtId="4" fontId="26" fillId="0" borderId="34" xfId="0" applyNumberFormat="1" applyFont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4" fontId="26" fillId="0" borderId="37" xfId="0" applyNumberFormat="1" applyFont="1" applyBorder="1" applyAlignment="1" applyProtection="1">
      <alignment vertical="center"/>
      <protection locked="0"/>
    </xf>
    <xf numFmtId="4" fontId="30" fillId="0" borderId="11" xfId="0" applyNumberFormat="1" applyFont="1" applyBorder="1" applyAlignment="1" applyProtection="1">
      <alignment vertical="center"/>
      <protection locked="0"/>
    </xf>
    <xf numFmtId="4" fontId="26" fillId="0" borderId="0" xfId="0" applyNumberFormat="1" applyFont="1" applyFill="1" applyAlignment="1" applyProtection="1">
      <alignment horizontal="right" vertical="center"/>
      <protection locked="0"/>
    </xf>
    <xf numFmtId="2" fontId="26" fillId="0" borderId="0" xfId="0" applyNumberFormat="1" applyFont="1" applyAlignment="1" applyProtection="1">
      <alignment vertical="center"/>
      <protection locked="0"/>
    </xf>
    <xf numFmtId="4" fontId="26" fillId="0" borderId="0" xfId="0" applyNumberFormat="1" applyFont="1" applyBorder="1" applyAlignment="1" applyProtection="1">
      <alignment vertical="center"/>
      <protection locked="0"/>
    </xf>
    <xf numFmtId="4" fontId="26" fillId="0" borderId="27" xfId="0" applyNumberFormat="1" applyFont="1" applyBorder="1" applyAlignment="1" applyProtection="1">
      <alignment vertical="center"/>
      <protection locked="0"/>
    </xf>
    <xf numFmtId="4" fontId="26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2" fontId="26" fillId="0" borderId="0" xfId="110" applyNumberFormat="1" applyFont="1" applyFill="1" applyBorder="1" applyProtection="1">
      <alignment/>
      <protection locked="0"/>
    </xf>
    <xf numFmtId="0" fontId="26" fillId="0" borderId="0" xfId="0" applyFont="1" applyBorder="1" applyAlignment="1" applyProtection="1">
      <alignment vertical="center"/>
      <protection locked="0"/>
    </xf>
    <xf numFmtId="1" fontId="31" fillId="0" borderId="0" xfId="110" applyNumberFormat="1" applyFont="1" applyFill="1" applyBorder="1" applyProtection="1">
      <alignment/>
      <protection locked="0"/>
    </xf>
    <xf numFmtId="2" fontId="26" fillId="0" borderId="0" xfId="11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31" fillId="0" borderId="0" xfId="11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2" fontId="31" fillId="0" borderId="0" xfId="110" applyNumberFormat="1" applyFont="1" applyFill="1" applyBorder="1" applyProtection="1">
      <alignment/>
      <protection locked="0"/>
    </xf>
    <xf numFmtId="0" fontId="26" fillId="0" borderId="0" xfId="0" applyFont="1" applyBorder="1" applyAlignment="1" applyProtection="1">
      <alignment horizontal="right" vertical="center"/>
      <protection locked="0"/>
    </xf>
    <xf numFmtId="0" fontId="19" fillId="0" borderId="44" xfId="0" applyNumberFormat="1" applyFont="1" applyBorder="1" applyAlignment="1" applyProtection="1">
      <alignment/>
      <protection/>
    </xf>
    <xf numFmtId="0" fontId="19" fillId="0" borderId="45" xfId="0" applyNumberFormat="1" applyFont="1" applyBorder="1" applyAlignment="1" applyProtection="1">
      <alignment/>
      <protection/>
    </xf>
    <xf numFmtId="0" fontId="20" fillId="0" borderId="45" xfId="0" applyNumberFormat="1" applyFont="1" applyBorder="1" applyAlignment="1" applyProtection="1">
      <alignment/>
      <protection/>
    </xf>
    <xf numFmtId="0" fontId="19" fillId="0" borderId="46" xfId="0" applyNumberFormat="1" applyFont="1" applyBorder="1" applyAlignment="1" applyProtection="1">
      <alignment/>
      <protection/>
    </xf>
    <xf numFmtId="0" fontId="19" fillId="0" borderId="47" xfId="0" applyNumberFormat="1" applyFont="1" applyBorder="1" applyAlignment="1" applyProtection="1">
      <alignment/>
      <protection/>
    </xf>
    <xf numFmtId="0" fontId="19" fillId="0" borderId="48" xfId="0" applyNumberFormat="1" applyFont="1" applyBorder="1" applyAlignment="1" applyProtection="1">
      <alignment/>
      <protection/>
    </xf>
    <xf numFmtId="0" fontId="21" fillId="0" borderId="44" xfId="0" applyNumberFormat="1" applyFont="1" applyBorder="1" applyAlignment="1" applyProtection="1">
      <alignment/>
      <protection/>
    </xf>
    <xf numFmtId="0" fontId="21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 applyProtection="1">
      <alignment/>
      <protection/>
    </xf>
    <xf numFmtId="165" fontId="23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21" fillId="0" borderId="49" xfId="0" applyNumberFormat="1" applyFont="1" applyBorder="1" applyAlignment="1" applyProtection="1">
      <alignment/>
      <protection/>
    </xf>
    <xf numFmtId="0" fontId="23" fillId="0" borderId="50" xfId="0" applyNumberFormat="1" applyFont="1" applyBorder="1" applyAlignment="1" applyProtection="1">
      <alignment/>
      <protection/>
    </xf>
    <xf numFmtId="0" fontId="21" fillId="0" borderId="50" xfId="0" applyNumberFormat="1" applyFont="1" applyBorder="1" applyAlignment="1" applyProtection="1">
      <alignment/>
      <protection/>
    </xf>
    <xf numFmtId="165" fontId="23" fillId="0" borderId="50" xfId="0" applyNumberFormat="1" applyFont="1" applyBorder="1" applyAlignment="1" applyProtection="1">
      <alignment/>
      <protection/>
    </xf>
    <xf numFmtId="0" fontId="20" fillId="0" borderId="51" xfId="0" applyNumberFormat="1" applyFont="1" applyBorder="1" applyAlignment="1" applyProtection="1">
      <alignment/>
      <protection/>
    </xf>
    <xf numFmtId="0" fontId="22" fillId="0" borderId="0" xfId="0" applyNumberFormat="1" applyFont="1" applyBorder="1" applyAlignment="1" applyProtection="1">
      <alignment horizontal="center"/>
      <protection/>
    </xf>
    <xf numFmtId="0" fontId="20" fillId="0" borderId="24" xfId="0" applyNumberFormat="1" applyFont="1" applyBorder="1" applyAlignment="1" applyProtection="1">
      <alignment horizontal="center"/>
      <protection/>
    </xf>
    <xf numFmtId="166" fontId="20" fillId="0" borderId="0" xfId="0" applyNumberFormat="1" applyFont="1" applyBorder="1" applyAlignment="1" applyProtection="1">
      <alignment horizontal="center"/>
      <protection/>
    </xf>
    <xf numFmtId="0" fontId="32" fillId="0" borderId="13" xfId="0" applyNumberFormat="1" applyFont="1" applyBorder="1" applyAlignment="1" applyProtection="1">
      <alignment/>
      <protection/>
    </xf>
    <xf numFmtId="0" fontId="33" fillId="0" borderId="13" xfId="0" applyNumberFormat="1" applyFont="1" applyBorder="1" applyAlignment="1" applyProtection="1">
      <alignment/>
      <protection/>
    </xf>
    <xf numFmtId="0" fontId="20" fillId="0" borderId="19" xfId="0" applyNumberFormat="1" applyFont="1" applyBorder="1" applyAlignment="1" applyProtection="1">
      <alignment horizontal="center"/>
      <protection/>
    </xf>
    <xf numFmtId="4" fontId="20" fillId="0" borderId="0" xfId="0" applyNumberFormat="1" applyFont="1" applyBorder="1" applyAlignment="1" applyProtection="1">
      <alignment/>
      <protection/>
    </xf>
    <xf numFmtId="0" fontId="20" fillId="0" borderId="13" xfId="0" applyNumberFormat="1" applyFont="1" applyBorder="1" applyAlignment="1" applyProtection="1">
      <alignment horizontal="center"/>
      <protection/>
    </xf>
    <xf numFmtId="0" fontId="20" fillId="0" borderId="13" xfId="0" applyNumberFormat="1" applyFont="1" applyBorder="1" applyAlignment="1" applyProtection="1">
      <alignment horizontal="center"/>
      <protection/>
    </xf>
    <xf numFmtId="0" fontId="20" fillId="0" borderId="52" xfId="0" applyNumberFormat="1" applyFont="1" applyBorder="1" applyAlignment="1" applyProtection="1">
      <alignment horizontal="center"/>
      <protection/>
    </xf>
    <xf numFmtId="0" fontId="20" fillId="0" borderId="53" xfId="0" applyNumberFormat="1" applyFont="1" applyBorder="1" applyAlignment="1" applyProtection="1">
      <alignment horizontal="center"/>
      <protection/>
    </xf>
    <xf numFmtId="0" fontId="20" fillId="0" borderId="54" xfId="0" applyNumberFormat="1" applyFont="1" applyBorder="1" applyAlignment="1" applyProtection="1">
      <alignment horizontal="center"/>
      <protection/>
    </xf>
    <xf numFmtId="0" fontId="21" fillId="0" borderId="55" xfId="0" applyNumberFormat="1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 horizontal="center"/>
      <protection/>
    </xf>
    <xf numFmtId="0" fontId="21" fillId="0" borderId="58" xfId="0" applyNumberFormat="1" applyFont="1" applyBorder="1" applyAlignment="1" applyProtection="1">
      <alignment horizontal="center"/>
      <protection/>
    </xf>
    <xf numFmtId="0" fontId="21" fillId="0" borderId="59" xfId="0" applyNumberFormat="1" applyFont="1" applyBorder="1" applyAlignment="1" applyProtection="1">
      <alignment horizontal="center"/>
      <protection/>
    </xf>
    <xf numFmtId="0" fontId="21" fillId="0" borderId="59" xfId="0" applyNumberFormat="1" applyFont="1" applyBorder="1" applyAlignment="1" applyProtection="1">
      <alignment horizontal="center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60" xfId="0" applyNumberFormat="1" applyFont="1" applyFill="1" applyBorder="1" applyAlignment="1" applyProtection="1">
      <alignment horizontal="left" vertical="center"/>
      <protection locked="0"/>
    </xf>
    <xf numFmtId="0" fontId="28" fillId="0" borderId="61" xfId="0" applyFont="1" applyBorder="1" applyAlignment="1" applyProtection="1">
      <alignment horizontal="left" vertical="center"/>
      <protection locked="0"/>
    </xf>
    <xf numFmtId="0" fontId="28" fillId="0" borderId="60" xfId="0" applyFont="1" applyBorder="1" applyAlignment="1" applyProtection="1">
      <alignment horizontal="left" vertical="center"/>
      <protection locked="0"/>
    </xf>
    <xf numFmtId="0" fontId="28" fillId="0" borderId="62" xfId="0" applyFont="1" applyBorder="1" applyAlignment="1" applyProtection="1">
      <alignment horizontal="center" vertical="center"/>
      <protection locked="0"/>
    </xf>
    <xf numFmtId="0" fontId="28" fillId="0" borderId="63" xfId="0" applyFont="1" applyBorder="1" applyAlignment="1" applyProtection="1">
      <alignment horizontal="center" vertical="center"/>
      <protection locked="0"/>
    </xf>
    <xf numFmtId="0" fontId="28" fillId="0" borderId="64" xfId="0" applyFont="1" applyBorder="1" applyAlignment="1" applyProtection="1">
      <alignment horizontal="center" vertical="center"/>
      <protection locked="0"/>
    </xf>
    <xf numFmtId="0" fontId="28" fillId="0" borderId="65" xfId="0" applyFont="1" applyBorder="1" applyAlignment="1" applyProtection="1">
      <alignment horizontal="center" vertical="center" wrapText="1"/>
      <protection locked="0"/>
    </xf>
    <xf numFmtId="0" fontId="28" fillId="0" borderId="62" xfId="0" applyFont="1" applyBorder="1" applyAlignment="1" applyProtection="1">
      <alignment horizontal="center" vertical="center" wrapText="1"/>
      <protection locked="0"/>
    </xf>
    <xf numFmtId="0" fontId="28" fillId="0" borderId="66" xfId="0" applyFont="1" applyBorder="1" applyAlignment="1" applyProtection="1">
      <alignment horizontal="center" vertical="center"/>
      <protection locked="0"/>
    </xf>
    <xf numFmtId="0" fontId="28" fillId="0" borderId="32" xfId="0" applyFont="1" applyBorder="1" applyAlignment="1" applyProtection="1">
      <alignment horizontal="center" vertical="center"/>
      <protection locked="0"/>
    </xf>
    <xf numFmtId="0" fontId="28" fillId="0" borderId="67" xfId="0" applyFont="1" applyFill="1" applyBorder="1" applyAlignment="1">
      <alignment vertical="center"/>
    </xf>
    <xf numFmtId="0" fontId="26" fillId="0" borderId="14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8" fillId="0" borderId="68" xfId="0" applyFont="1" applyBorder="1" applyAlignment="1" applyProtection="1">
      <alignment horizontal="center" vertical="center"/>
      <protection locked="0"/>
    </xf>
    <xf numFmtId="4" fontId="30" fillId="0" borderId="33" xfId="0" applyNumberFormat="1" applyFont="1" applyBorder="1" applyAlignment="1" applyProtection="1">
      <alignment vertical="center"/>
      <protection locked="0"/>
    </xf>
    <xf numFmtId="4" fontId="30" fillId="0" borderId="69" xfId="0" applyNumberFormat="1" applyFont="1" applyBorder="1" applyAlignment="1" applyProtection="1">
      <alignment vertical="center"/>
      <protection locked="0"/>
    </xf>
    <xf numFmtId="4" fontId="26" fillId="0" borderId="70" xfId="0" applyNumberFormat="1" applyFont="1" applyBorder="1" applyAlignment="1" applyProtection="1">
      <alignment vertical="center"/>
      <protection locked="0"/>
    </xf>
    <xf numFmtId="0" fontId="30" fillId="0" borderId="32" xfId="0" applyFont="1" applyBorder="1" applyAlignment="1" applyProtection="1">
      <alignment horizontal="center" vertical="center"/>
      <protection locked="0"/>
    </xf>
    <xf numFmtId="0" fontId="30" fillId="0" borderId="33" xfId="0" applyFont="1" applyFill="1" applyBorder="1" applyAlignment="1" applyProtection="1">
      <alignment horizontal="left" vertical="center"/>
      <protection locked="0"/>
    </xf>
    <xf numFmtId="0" fontId="30" fillId="0" borderId="33" xfId="0" applyFont="1" applyFill="1" applyBorder="1" applyAlignment="1" applyProtection="1">
      <alignment horizontal="center" vertical="center"/>
      <protection locked="0"/>
    </xf>
    <xf numFmtId="4" fontId="30" fillId="0" borderId="33" xfId="0" applyNumberFormat="1" applyFont="1" applyFill="1" applyBorder="1" applyAlignment="1" applyProtection="1">
      <alignment vertical="center"/>
      <protection locked="0"/>
    </xf>
    <xf numFmtId="4" fontId="26" fillId="0" borderId="71" xfId="0" applyNumberFormat="1" applyFont="1" applyBorder="1" applyAlignment="1" applyProtection="1">
      <alignment vertical="center"/>
      <protection locked="0"/>
    </xf>
    <xf numFmtId="0" fontId="30" fillId="0" borderId="30" xfId="0" applyFont="1" applyFill="1" applyBorder="1" applyAlignment="1" applyProtection="1">
      <alignment horizontal="center" vertical="center"/>
      <protection locked="0"/>
    </xf>
    <xf numFmtId="4" fontId="30" fillId="0" borderId="30" xfId="0" applyNumberFormat="1" applyFont="1" applyFill="1" applyBorder="1" applyAlignment="1" applyProtection="1">
      <alignment vertical="center"/>
      <protection locked="0"/>
    </xf>
    <xf numFmtId="4" fontId="26" fillId="0" borderId="33" xfId="0" applyNumberFormat="1" applyFont="1" applyBorder="1" applyAlignment="1" applyProtection="1">
      <alignment vertical="center"/>
      <protection locked="0"/>
    </xf>
    <xf numFmtId="0" fontId="26" fillId="0" borderId="32" xfId="0" applyFont="1" applyBorder="1" applyAlignment="1" applyProtection="1">
      <alignment horizontal="left" vertical="center"/>
      <protection locked="0"/>
    </xf>
    <xf numFmtId="0" fontId="26" fillId="0" borderId="33" xfId="0" applyFont="1" applyFill="1" applyBorder="1" applyAlignment="1" applyProtection="1">
      <alignment horizontal="left" vertical="center"/>
      <protection locked="0"/>
    </xf>
    <xf numFmtId="0" fontId="26" fillId="0" borderId="33" xfId="0" applyFont="1" applyFill="1" applyBorder="1" applyAlignment="1" applyProtection="1">
      <alignment horizontal="center" vertical="center"/>
      <protection locked="0"/>
    </xf>
    <xf numFmtId="4" fontId="26" fillId="0" borderId="33" xfId="0" applyNumberFormat="1" applyFont="1" applyFill="1" applyBorder="1" applyAlignment="1" applyProtection="1">
      <alignment vertical="center"/>
      <protection locked="0"/>
    </xf>
    <xf numFmtId="4" fontId="26" fillId="0" borderId="69" xfId="0" applyNumberFormat="1" applyFont="1" applyBorder="1" applyAlignment="1" applyProtection="1">
      <alignment vertical="center"/>
      <protection locked="0"/>
    </xf>
    <xf numFmtId="4" fontId="26" fillId="0" borderId="36" xfId="0" applyNumberFormat="1" applyFont="1" applyBorder="1" applyAlignment="1" applyProtection="1">
      <alignment vertical="center"/>
      <protection locked="0"/>
    </xf>
    <xf numFmtId="0" fontId="26" fillId="0" borderId="36" xfId="0" applyFont="1" applyFill="1" applyBorder="1" applyAlignment="1" applyProtection="1">
      <alignment horizontal="center" vertical="center"/>
      <protection locked="0"/>
    </xf>
    <xf numFmtId="4" fontId="26" fillId="0" borderId="36" xfId="0" applyNumberFormat="1" applyFont="1" applyFill="1" applyBorder="1" applyAlignment="1" applyProtection="1">
      <alignment vertical="center"/>
      <protection locked="0"/>
    </xf>
    <xf numFmtId="4" fontId="26" fillId="0" borderId="72" xfId="0" applyNumberFormat="1" applyFont="1" applyBorder="1" applyAlignment="1" applyProtection="1">
      <alignment vertical="center"/>
      <protection locked="0"/>
    </xf>
    <xf numFmtId="0" fontId="30" fillId="0" borderId="11" xfId="0" applyFont="1" applyBorder="1" applyAlignment="1" applyProtection="1">
      <alignment horizontal="left" vertical="center"/>
      <protection locked="0"/>
    </xf>
    <xf numFmtId="4" fontId="30" fillId="0" borderId="73" xfId="0" applyNumberFormat="1" applyFont="1" applyBorder="1" applyAlignment="1" applyProtection="1">
      <alignment vertical="center"/>
      <protection locked="0"/>
    </xf>
    <xf numFmtId="4" fontId="30" fillId="0" borderId="11" xfId="0" applyNumberFormat="1" applyFont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169" fontId="26" fillId="0" borderId="0" xfId="0" applyNumberFormat="1" applyFont="1" applyBorder="1" applyAlignment="1" applyProtection="1">
      <alignment horizontal="center" vertical="center"/>
      <protection locked="0"/>
    </xf>
    <xf numFmtId="2" fontId="26" fillId="23" borderId="24" xfId="110" applyNumberFormat="1" applyFont="1" applyFill="1" applyBorder="1" applyAlignment="1" applyProtection="1">
      <alignment horizontal="left" vertical="center"/>
      <protection locked="0"/>
    </xf>
    <xf numFmtId="2" fontId="26" fillId="23" borderId="24" xfId="0" applyNumberFormat="1" applyFont="1" applyFill="1" applyBorder="1" applyAlignment="1" applyProtection="1">
      <alignment horizontal="center" vertical="center"/>
      <protection locked="0"/>
    </xf>
    <xf numFmtId="4" fontId="26" fillId="23" borderId="24" xfId="0" applyNumberFormat="1" applyFont="1" applyFill="1" applyBorder="1" applyAlignment="1" applyProtection="1">
      <alignment horizontal="center" vertical="center"/>
      <protection locked="0"/>
    </xf>
  </cellXfs>
  <cellStyles count="131">
    <cellStyle name="Normal" xfId="0"/>
    <cellStyle name="20% - Ênfase1" xfId="15"/>
    <cellStyle name="20% - Ênfase1 1" xfId="16"/>
    <cellStyle name="20% - Ênfase1 2" xfId="17"/>
    <cellStyle name="20% - Ênfase2" xfId="18"/>
    <cellStyle name="20% - Ênfase2 1" xfId="19"/>
    <cellStyle name="20% - Ênfase2 2" xfId="20"/>
    <cellStyle name="20% - Ênfase3" xfId="21"/>
    <cellStyle name="20% - Ênfase3 1" xfId="22"/>
    <cellStyle name="20% - Ênfase3 2" xfId="23"/>
    <cellStyle name="20% - Ênfase4" xfId="24"/>
    <cellStyle name="20% - Ênfase4 1" xfId="25"/>
    <cellStyle name="20% - Ênfase4 2" xfId="26"/>
    <cellStyle name="20% - Ênfase5" xfId="27"/>
    <cellStyle name="20% - Ênfase5 1" xfId="28"/>
    <cellStyle name="20% - Ênfase5 2" xfId="29"/>
    <cellStyle name="20% - Ênfase6" xfId="30"/>
    <cellStyle name="20% - Ênfase6 1" xfId="31"/>
    <cellStyle name="20% - Ênfase6 2" xfId="32"/>
    <cellStyle name="40% - Ênfase1" xfId="33"/>
    <cellStyle name="40% - Ênfase1 1" xfId="34"/>
    <cellStyle name="40% - Ênfase1 2" xfId="35"/>
    <cellStyle name="40% - Ênfase2" xfId="36"/>
    <cellStyle name="40% - Ênfase2 1" xfId="37"/>
    <cellStyle name="40% - Ênfase2 2" xfId="38"/>
    <cellStyle name="40% - Ênfase3" xfId="39"/>
    <cellStyle name="40% - Ênfase3 1" xfId="40"/>
    <cellStyle name="40% - Ênfase3 2" xfId="41"/>
    <cellStyle name="40% - Ênfase4" xfId="42"/>
    <cellStyle name="40% - Ênfase4 1" xfId="43"/>
    <cellStyle name="40% - Ênfase4 2" xfId="44"/>
    <cellStyle name="40% - Ênfase5" xfId="45"/>
    <cellStyle name="40% - Ênfase5 1" xfId="46"/>
    <cellStyle name="40% - Ênfase5 2" xfId="47"/>
    <cellStyle name="40% - Ênfase6" xfId="48"/>
    <cellStyle name="40% - Ênfase6 1" xfId="49"/>
    <cellStyle name="40% - Ênfase6 2" xfId="50"/>
    <cellStyle name="60% - Ênfase1" xfId="51"/>
    <cellStyle name="60% - Ênfase1 1" xfId="52"/>
    <cellStyle name="60% - Ênfase1 2" xfId="53"/>
    <cellStyle name="60% - Ênfase2" xfId="54"/>
    <cellStyle name="60% - Ênfase2 1" xfId="55"/>
    <cellStyle name="60% - Ênfase2 2" xfId="56"/>
    <cellStyle name="60% - Ênfase3" xfId="57"/>
    <cellStyle name="60% - Ênfase3 1" xfId="58"/>
    <cellStyle name="60% - Ênfase3 2" xfId="59"/>
    <cellStyle name="60% - Ênfase4" xfId="60"/>
    <cellStyle name="60% - Ênfase4 1" xfId="61"/>
    <cellStyle name="60% - Ênfase4 2" xfId="62"/>
    <cellStyle name="60% - Ênfase5" xfId="63"/>
    <cellStyle name="60% - Ênfase5 1" xfId="64"/>
    <cellStyle name="60% - Ênfase5 2" xfId="65"/>
    <cellStyle name="60% - Ênfase6" xfId="66"/>
    <cellStyle name="60% - Ênfase6 1" xfId="67"/>
    <cellStyle name="60% - Ênfase6 2" xfId="68"/>
    <cellStyle name="Bom" xfId="69"/>
    <cellStyle name="Bom 1" xfId="70"/>
    <cellStyle name="Bom 2" xfId="71"/>
    <cellStyle name="Cálculo" xfId="72"/>
    <cellStyle name="Cálculo 1" xfId="73"/>
    <cellStyle name="Cálculo 2" xfId="74"/>
    <cellStyle name="Célula de Verificação" xfId="75"/>
    <cellStyle name="Célula de Verificação 1" xfId="76"/>
    <cellStyle name="Célula de Verificação 2" xfId="77"/>
    <cellStyle name="Célula Vinculada" xfId="78"/>
    <cellStyle name="Célula Vinculada 1" xfId="79"/>
    <cellStyle name="Célula Vinculada 2" xfId="80"/>
    <cellStyle name="Ênfase1" xfId="81"/>
    <cellStyle name="Ênfase1 1" xfId="82"/>
    <cellStyle name="Ênfase1 2" xfId="83"/>
    <cellStyle name="Ênfase2" xfId="84"/>
    <cellStyle name="Ênfase2 1" xfId="85"/>
    <cellStyle name="Ênfase2 2" xfId="86"/>
    <cellStyle name="Ênfase3" xfId="87"/>
    <cellStyle name="Ênfase3 1" xfId="88"/>
    <cellStyle name="Ênfase3 2" xfId="89"/>
    <cellStyle name="Ênfase4" xfId="90"/>
    <cellStyle name="Ênfase4 1" xfId="91"/>
    <cellStyle name="Ênfase4 2" xfId="92"/>
    <cellStyle name="Ênfase5" xfId="93"/>
    <cellStyle name="Ênfase5 1" xfId="94"/>
    <cellStyle name="Ênfase5 2" xfId="95"/>
    <cellStyle name="Ênfase6" xfId="96"/>
    <cellStyle name="Ênfase6 1" xfId="97"/>
    <cellStyle name="Ênfase6 2" xfId="98"/>
    <cellStyle name="Entrada" xfId="99"/>
    <cellStyle name="Entrada 1" xfId="100"/>
    <cellStyle name="Entrada 2" xfId="101"/>
    <cellStyle name="Incorreto" xfId="102"/>
    <cellStyle name="Incorreto 1" xfId="103"/>
    <cellStyle name="Incorreto 2" xfId="104"/>
    <cellStyle name="Currency" xfId="105"/>
    <cellStyle name="Currency [0]" xfId="106"/>
    <cellStyle name="Neutra" xfId="107"/>
    <cellStyle name="Neutra 1" xfId="108"/>
    <cellStyle name="Neutra 2" xfId="109"/>
    <cellStyle name="Normal_Plan1" xfId="110"/>
    <cellStyle name="Nota" xfId="111"/>
    <cellStyle name="Nota 1" xfId="112"/>
    <cellStyle name="Nota 2" xfId="113"/>
    <cellStyle name="Percent" xfId="114"/>
    <cellStyle name="Saída" xfId="115"/>
    <cellStyle name="Saída 1" xfId="116"/>
    <cellStyle name="Saída 2" xfId="117"/>
    <cellStyle name="Comma" xfId="118"/>
    <cellStyle name="Comma [0]" xfId="119"/>
    <cellStyle name="Texto de Aviso" xfId="120"/>
    <cellStyle name="Texto de Aviso 1" xfId="121"/>
    <cellStyle name="Texto de Aviso 2" xfId="122"/>
    <cellStyle name="Texto Explicativo" xfId="123"/>
    <cellStyle name="Texto Explicativo 1" xfId="124"/>
    <cellStyle name="Texto Explicativo 2" xfId="125"/>
    <cellStyle name="Título" xfId="126"/>
    <cellStyle name="Título 1" xfId="127"/>
    <cellStyle name="Título 1 1" xfId="128"/>
    <cellStyle name="Título 1 2" xfId="129"/>
    <cellStyle name="Título 1 3" xfId="130"/>
    <cellStyle name="Título 2" xfId="131"/>
    <cellStyle name="Título 2 1" xfId="132"/>
    <cellStyle name="Título 2 2" xfId="133"/>
    <cellStyle name="Título 3" xfId="134"/>
    <cellStyle name="Título 3 1" xfId="135"/>
    <cellStyle name="Título 3 2" xfId="136"/>
    <cellStyle name="Título 4" xfId="137"/>
    <cellStyle name="Título 4 1" xfId="138"/>
    <cellStyle name="Título 4 2" xfId="139"/>
    <cellStyle name="Título 5" xfId="140"/>
    <cellStyle name="Título 6" xfId="141"/>
    <cellStyle name="Total" xfId="142"/>
    <cellStyle name="Total 1" xfId="143"/>
    <cellStyle name="Total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10</xdr:col>
      <xdr:colOff>95250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057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UARIO\CONFIG~1\Temp\Amosc2006\Modelos\Orcament\CINE138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UARIO\CONFIG~1\Temp\Modelos\Orcament\PRECOS.SX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76">
          <cell r="D76">
            <v>30</v>
          </cell>
        </row>
        <row r="219">
          <cell r="D219">
            <v>23</v>
          </cell>
        </row>
        <row r="244">
          <cell r="D244">
            <v>828.23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8"/>
  <sheetViews>
    <sheetView tabSelected="1" zoomScalePageLayoutView="0" workbookViewId="0" topLeftCell="A92">
      <selection activeCell="B106" sqref="B106:I159"/>
    </sheetView>
  </sheetViews>
  <sheetFormatPr defaultColWidth="9.140625" defaultRowHeight="12.75"/>
  <cols>
    <col min="1" max="1" width="2.57421875" style="0" customWidth="1"/>
    <col min="2" max="2" width="6.7109375" style="0" customWidth="1"/>
    <col min="3" max="3" width="9.7109375" style="0" customWidth="1"/>
    <col min="4" max="4" width="30.7109375" style="0" customWidth="1"/>
    <col min="5" max="5" width="4.57421875" style="0" customWidth="1"/>
    <col min="6" max="6" width="8.7109375" style="0" customWidth="1"/>
    <col min="7" max="8" width="10.7109375" style="0" customWidth="1"/>
    <col min="9" max="9" width="7.28125" style="0" customWidth="1"/>
    <col min="10" max="10" width="5.28125" style="0" customWidth="1"/>
  </cols>
  <sheetData>
    <row r="1" spans="2:9" s="1" customFormat="1" ht="8.25">
      <c r="B1" s="2"/>
      <c r="C1" s="2"/>
      <c r="D1" s="2"/>
      <c r="E1" s="2"/>
      <c r="F1" s="2"/>
      <c r="G1" s="2"/>
      <c r="H1" s="2"/>
      <c r="I1" s="2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3.5" thickBot="1">
      <c r="A3" s="3"/>
      <c r="B3" s="200"/>
      <c r="C3" s="200"/>
      <c r="D3" s="201"/>
      <c r="E3" s="201"/>
      <c r="F3" s="201"/>
      <c r="G3" s="201"/>
      <c r="H3" s="201"/>
      <c r="I3" s="202"/>
      <c r="J3" s="3"/>
    </row>
    <row r="4" spans="1:10" ht="15.75">
      <c r="A4" s="3"/>
      <c r="B4" s="203" t="s">
        <v>0</v>
      </c>
      <c r="C4" s="204"/>
      <c r="D4" s="205"/>
      <c r="E4" s="205"/>
      <c r="F4" s="205"/>
      <c r="G4" s="205"/>
      <c r="H4" s="205"/>
      <c r="I4" s="206"/>
      <c r="J4" s="3"/>
    </row>
    <row r="5" spans="2:9" s="1" customFormat="1" ht="8.25">
      <c r="B5" s="175"/>
      <c r="I5" s="176"/>
    </row>
    <row r="6" spans="1:10" ht="15.75">
      <c r="A6" s="3"/>
      <c r="B6" s="181" t="s">
        <v>324</v>
      </c>
      <c r="C6" s="182"/>
      <c r="D6" s="182"/>
      <c r="E6" s="182" t="s">
        <v>322</v>
      </c>
      <c r="F6" s="182"/>
      <c r="G6" s="183"/>
      <c r="H6" s="184"/>
      <c r="I6" s="177"/>
      <c r="J6" s="3"/>
    </row>
    <row r="7" spans="1:10" ht="16.5" thickBot="1">
      <c r="A7" s="3"/>
      <c r="B7" s="181"/>
      <c r="C7" s="182"/>
      <c r="D7" s="182"/>
      <c r="E7" s="185"/>
      <c r="F7" s="185"/>
      <c r="G7" s="183"/>
      <c r="H7" s="184"/>
      <c r="I7" s="177"/>
      <c r="J7" s="3"/>
    </row>
    <row r="8" spans="1:10" ht="15.75">
      <c r="A8" s="3"/>
      <c r="B8" s="186" t="s">
        <v>325</v>
      </c>
      <c r="C8" s="188"/>
      <c r="D8" s="187"/>
      <c r="E8" s="188" t="s">
        <v>323</v>
      </c>
      <c r="F8" s="188"/>
      <c r="G8" s="187"/>
      <c r="H8" s="189" t="s">
        <v>326</v>
      </c>
      <c r="I8" s="190"/>
      <c r="J8" s="3"/>
    </row>
    <row r="9" spans="2:9" s="1" customFormat="1" ht="9" thickBot="1">
      <c r="B9" s="178"/>
      <c r="C9" s="179"/>
      <c r="D9" s="179"/>
      <c r="E9" s="179"/>
      <c r="F9" s="179"/>
      <c r="G9" s="179"/>
      <c r="H9" s="179"/>
      <c r="I9" s="180"/>
    </row>
    <row r="10" spans="1:10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/>
      <c r="B11" s="4" t="s">
        <v>327</v>
      </c>
      <c r="C11" s="4" t="s">
        <v>328</v>
      </c>
      <c r="D11" s="5" t="s">
        <v>2</v>
      </c>
      <c r="E11" s="4" t="s">
        <v>3</v>
      </c>
      <c r="F11" s="4" t="s">
        <v>4</v>
      </c>
      <c r="G11" s="5" t="s">
        <v>5</v>
      </c>
      <c r="H11" s="5" t="s">
        <v>6</v>
      </c>
      <c r="I11" s="5" t="s">
        <v>7</v>
      </c>
      <c r="J11" s="3"/>
    </row>
    <row r="12" spans="1:10" ht="12.75">
      <c r="A12" s="3"/>
      <c r="B12" s="6"/>
      <c r="C12" s="191"/>
      <c r="D12" s="7"/>
      <c r="E12" s="8"/>
      <c r="F12" s="9"/>
      <c r="G12" s="10"/>
      <c r="H12" s="7"/>
      <c r="I12" s="11"/>
      <c r="J12" s="3"/>
    </row>
    <row r="13" spans="1:10" ht="12.75">
      <c r="A13" s="3"/>
      <c r="B13" s="12" t="s">
        <v>8</v>
      </c>
      <c r="C13" s="8" t="s">
        <v>329</v>
      </c>
      <c r="D13" s="194" t="s">
        <v>9</v>
      </c>
      <c r="E13" s="10" t="s">
        <v>10</v>
      </c>
      <c r="F13" s="14">
        <v>264</v>
      </c>
      <c r="G13" s="15">
        <v>1.78</v>
      </c>
      <c r="H13" s="16">
        <f>F13*G13</f>
        <v>469.92</v>
      </c>
      <c r="I13" s="17">
        <f>H13*100/$H$165</f>
        <v>0.17772770903196466</v>
      </c>
      <c r="J13" s="3"/>
    </row>
    <row r="14" spans="1:10" ht="12.75">
      <c r="A14" s="3"/>
      <c r="B14" s="18"/>
      <c r="C14" s="10"/>
      <c r="D14" s="19"/>
      <c r="E14" s="10"/>
      <c r="F14" s="14"/>
      <c r="G14" s="3"/>
      <c r="H14" s="20"/>
      <c r="I14" s="21"/>
      <c r="J14" s="3"/>
    </row>
    <row r="15" spans="1:13" ht="12.75">
      <c r="A15" s="3"/>
      <c r="B15" s="12" t="s">
        <v>11</v>
      </c>
      <c r="C15" s="8">
        <v>73960</v>
      </c>
      <c r="D15" s="194" t="s">
        <v>12</v>
      </c>
      <c r="E15" s="8" t="s">
        <v>330</v>
      </c>
      <c r="F15" s="22">
        <v>1</v>
      </c>
      <c r="G15" s="15">
        <v>994.75</v>
      </c>
      <c r="H15" s="16">
        <f>F15*G15</f>
        <v>994.75</v>
      </c>
      <c r="I15" s="17">
        <f>H15*100/$H$165</f>
        <v>0.3762228433766319</v>
      </c>
      <c r="J15" s="3"/>
      <c r="L15" s="15"/>
      <c r="M15" s="15"/>
    </row>
    <row r="16" spans="1:10" ht="12.75">
      <c r="A16" s="3"/>
      <c r="B16" s="18"/>
      <c r="C16" s="10"/>
      <c r="D16" s="195"/>
      <c r="E16" s="10"/>
      <c r="F16" s="22"/>
      <c r="G16" s="15"/>
      <c r="H16" s="22"/>
      <c r="I16" s="21"/>
      <c r="J16" s="3"/>
    </row>
    <row r="17" spans="1:10" ht="12.75">
      <c r="A17" s="3"/>
      <c r="B17" s="12" t="s">
        <v>13</v>
      </c>
      <c r="C17" s="8">
        <v>74209</v>
      </c>
      <c r="D17" s="194" t="s">
        <v>14</v>
      </c>
      <c r="E17" s="8" t="s">
        <v>331</v>
      </c>
      <c r="F17" s="22">
        <v>1</v>
      </c>
      <c r="G17" s="15">
        <v>239.55</v>
      </c>
      <c r="H17" s="16">
        <f>F17*G17</f>
        <v>239.55</v>
      </c>
      <c r="I17" s="17">
        <f>H17*100/$H$165</f>
        <v>0.09059983124490793</v>
      </c>
      <c r="J17" s="3"/>
    </row>
    <row r="18" spans="1:10" ht="12.75">
      <c r="A18" s="3"/>
      <c r="B18" s="18"/>
      <c r="C18" s="8"/>
      <c r="D18" s="195"/>
      <c r="E18" s="10"/>
      <c r="F18" s="22"/>
      <c r="G18" s="15"/>
      <c r="H18" s="22"/>
      <c r="I18" s="21"/>
      <c r="J18" s="3"/>
    </row>
    <row r="19" spans="1:10" ht="12.75">
      <c r="A19" s="3"/>
      <c r="B19" s="12" t="s">
        <v>15</v>
      </c>
      <c r="C19" s="8">
        <v>74077</v>
      </c>
      <c r="D19" s="194" t="s">
        <v>16</v>
      </c>
      <c r="E19" s="10" t="s">
        <v>10</v>
      </c>
      <c r="F19" s="22">
        <v>263.25</v>
      </c>
      <c r="G19" s="15">
        <v>2.41</v>
      </c>
      <c r="H19" s="22">
        <f>F19*G19</f>
        <v>634.4325</v>
      </c>
      <c r="I19" s="21"/>
      <c r="J19" s="3"/>
    </row>
    <row r="20" spans="1:10" ht="12.75">
      <c r="A20" s="3"/>
      <c r="B20" s="18" t="s">
        <v>17</v>
      </c>
      <c r="C20" s="8"/>
      <c r="D20" s="20" t="s">
        <v>18</v>
      </c>
      <c r="E20" s="10" t="s">
        <v>19</v>
      </c>
      <c r="F20" s="22" t="s">
        <v>20</v>
      </c>
      <c r="G20" s="15" t="s">
        <v>21</v>
      </c>
      <c r="H20" s="16">
        <f>H19</f>
        <v>634.4325</v>
      </c>
      <c r="I20" s="17">
        <f>H20*100/$H$165</f>
        <v>0.23994772463487812</v>
      </c>
      <c r="J20" s="3"/>
    </row>
    <row r="21" spans="1:10" ht="12.75">
      <c r="A21" s="3"/>
      <c r="B21" s="18"/>
      <c r="C21" s="8"/>
      <c r="D21" s="20"/>
      <c r="E21" s="10"/>
      <c r="F21" s="22"/>
      <c r="G21" s="15"/>
      <c r="H21" s="22"/>
      <c r="I21" s="21"/>
      <c r="J21" s="3"/>
    </row>
    <row r="22" spans="1:10" ht="12.75">
      <c r="A22" s="3"/>
      <c r="B22" s="12" t="s">
        <v>22</v>
      </c>
      <c r="C22" s="8"/>
      <c r="D22" s="194" t="s">
        <v>23</v>
      </c>
      <c r="E22" s="10"/>
      <c r="F22" s="22"/>
      <c r="G22" s="15"/>
      <c r="H22" s="22"/>
      <c r="I22" s="21"/>
      <c r="J22" s="3"/>
    </row>
    <row r="23" spans="1:10" ht="12.75">
      <c r="A23" s="3"/>
      <c r="B23" s="18" t="s">
        <v>24</v>
      </c>
      <c r="C23" s="8" t="s">
        <v>365</v>
      </c>
      <c r="D23" s="20" t="s">
        <v>25</v>
      </c>
      <c r="E23" s="10" t="s">
        <v>26</v>
      </c>
      <c r="F23" s="22">
        <v>23.79</v>
      </c>
      <c r="G23" s="15">
        <v>13.58</v>
      </c>
      <c r="H23" s="22">
        <f>F23*G23</f>
        <v>323.0682</v>
      </c>
      <c r="I23" s="21"/>
      <c r="J23" s="3"/>
    </row>
    <row r="24" spans="1:10" ht="12.75">
      <c r="A24" s="3"/>
      <c r="B24" s="18" t="s">
        <v>27</v>
      </c>
      <c r="C24" s="8" t="s">
        <v>332</v>
      </c>
      <c r="D24" s="20" t="s">
        <v>28</v>
      </c>
      <c r="E24" s="10" t="s">
        <v>26</v>
      </c>
      <c r="F24" s="22">
        <v>10</v>
      </c>
      <c r="G24" s="15">
        <v>21.24</v>
      </c>
      <c r="H24" s="22">
        <f>F24*G24</f>
        <v>212.39999999999998</v>
      </c>
      <c r="I24" s="21"/>
      <c r="J24" s="3"/>
    </row>
    <row r="25" spans="1:10" ht="12.75">
      <c r="A25" s="3"/>
      <c r="B25" s="23" t="s">
        <v>29</v>
      </c>
      <c r="C25" s="193"/>
      <c r="D25" s="20" t="s">
        <v>18</v>
      </c>
      <c r="E25" s="10" t="s">
        <v>19</v>
      </c>
      <c r="F25" s="22" t="s">
        <v>20</v>
      </c>
      <c r="G25" s="15" t="s">
        <v>21</v>
      </c>
      <c r="H25" s="16">
        <f>SUM(H23:H24)</f>
        <v>535.4682</v>
      </c>
      <c r="I25" s="17">
        <f>H25*100/$H$165</f>
        <v>0.20251859134633526</v>
      </c>
      <c r="J25" s="3"/>
    </row>
    <row r="26" spans="1:10" ht="12.75">
      <c r="A26" s="3"/>
      <c r="B26" s="18"/>
      <c r="C26" s="8"/>
      <c r="D26" s="20"/>
      <c r="E26" s="10"/>
      <c r="F26" s="22"/>
      <c r="G26" s="15"/>
      <c r="H26" s="22"/>
      <c r="I26" s="21"/>
      <c r="J26" s="3"/>
    </row>
    <row r="27" spans="1:10" ht="12.75">
      <c r="A27" s="3"/>
      <c r="B27" s="12" t="s">
        <v>30</v>
      </c>
      <c r="C27" s="8"/>
      <c r="D27" s="13" t="s">
        <v>31</v>
      </c>
      <c r="E27" s="10"/>
      <c r="F27" s="22"/>
      <c r="G27" s="15"/>
      <c r="H27" s="22"/>
      <c r="I27" s="21"/>
      <c r="J27" s="3"/>
    </row>
    <row r="28" spans="1:10" ht="12.75">
      <c r="A28" s="3"/>
      <c r="B28" s="18" t="s">
        <v>32</v>
      </c>
      <c r="C28" s="8">
        <v>6042</v>
      </c>
      <c r="D28" s="20" t="s">
        <v>33</v>
      </c>
      <c r="E28" s="10" t="s">
        <v>26</v>
      </c>
      <c r="F28" s="22">
        <v>1.9</v>
      </c>
      <c r="G28" s="3">
        <v>264.59</v>
      </c>
      <c r="H28" s="22">
        <f>F28*G28</f>
        <v>502.72099999999995</v>
      </c>
      <c r="I28" s="21"/>
      <c r="J28" s="3"/>
    </row>
    <row r="29" spans="1:10" ht="12.75">
      <c r="A29" s="3"/>
      <c r="B29" s="18" t="s">
        <v>34</v>
      </c>
      <c r="C29" s="8"/>
      <c r="D29" s="20" t="s">
        <v>35</v>
      </c>
      <c r="E29" s="10" t="s">
        <v>19</v>
      </c>
      <c r="F29" s="22" t="s">
        <v>20</v>
      </c>
      <c r="G29" s="15" t="s">
        <v>21</v>
      </c>
      <c r="H29" s="22">
        <f>H28</f>
        <v>502.72099999999995</v>
      </c>
      <c r="I29" s="21"/>
      <c r="J29" s="3"/>
    </row>
    <row r="30" spans="1:10" ht="12.75">
      <c r="A30" s="3"/>
      <c r="B30" s="18" t="s">
        <v>36</v>
      </c>
      <c r="C30" s="8">
        <v>72132</v>
      </c>
      <c r="D30" s="20" t="s">
        <v>37</v>
      </c>
      <c r="E30" s="10" t="s">
        <v>10</v>
      </c>
      <c r="F30" s="22">
        <v>38.6</v>
      </c>
      <c r="G30" s="15">
        <v>39.23</v>
      </c>
      <c r="H30" s="22">
        <f>F30*G30</f>
        <v>1514.278</v>
      </c>
      <c r="I30" s="21"/>
      <c r="J30" s="3"/>
    </row>
    <row r="31" spans="1:10" ht="12.75">
      <c r="A31" s="3"/>
      <c r="B31" s="18" t="s">
        <v>38</v>
      </c>
      <c r="C31" s="8"/>
      <c r="D31" s="20" t="s">
        <v>35</v>
      </c>
      <c r="E31" s="10" t="s">
        <v>19</v>
      </c>
      <c r="F31" s="22" t="s">
        <v>20</v>
      </c>
      <c r="G31" s="15" t="s">
        <v>21</v>
      </c>
      <c r="H31" s="22">
        <f>H30</f>
        <v>1514.278</v>
      </c>
      <c r="I31" s="21"/>
      <c r="J31" s="3"/>
    </row>
    <row r="32" spans="1:10" ht="12.75">
      <c r="A32" s="3"/>
      <c r="B32" s="18" t="s">
        <v>39</v>
      </c>
      <c r="C32" s="8">
        <v>6427</v>
      </c>
      <c r="D32" s="20" t="s">
        <v>40</v>
      </c>
      <c r="E32" s="10" t="s">
        <v>26</v>
      </c>
      <c r="F32" s="22">
        <v>25.72</v>
      </c>
      <c r="G32" s="15">
        <v>1394.7</v>
      </c>
      <c r="H32" s="22">
        <f>F32*G32</f>
        <v>35871.684</v>
      </c>
      <c r="I32" s="21"/>
      <c r="J32" s="3"/>
    </row>
    <row r="33" spans="1:10" ht="12.75">
      <c r="A33" s="3"/>
      <c r="B33" s="18" t="s">
        <v>41</v>
      </c>
      <c r="C33" s="8"/>
      <c r="D33" s="20" t="s">
        <v>42</v>
      </c>
      <c r="E33" s="10" t="s">
        <v>43</v>
      </c>
      <c r="F33" s="22" t="s">
        <v>44</v>
      </c>
      <c r="G33" s="15" t="s">
        <v>44</v>
      </c>
      <c r="H33" s="22">
        <f>H32</f>
        <v>35871.684</v>
      </c>
      <c r="I33" s="21"/>
      <c r="J33" s="3"/>
    </row>
    <row r="34" spans="1:10" ht="12.75">
      <c r="A34" s="3"/>
      <c r="B34" s="18" t="s">
        <v>45</v>
      </c>
      <c r="C34" s="8" t="s">
        <v>333</v>
      </c>
      <c r="D34" s="20" t="s">
        <v>46</v>
      </c>
      <c r="E34" s="10" t="s">
        <v>10</v>
      </c>
      <c r="F34" s="14">
        <v>86</v>
      </c>
      <c r="G34" s="15">
        <v>34.84</v>
      </c>
      <c r="H34" s="22">
        <f>F34*G34</f>
        <v>2996.2400000000002</v>
      </c>
      <c r="I34" s="21"/>
      <c r="J34" s="3"/>
    </row>
    <row r="35" spans="1:10" ht="12.75">
      <c r="A35" s="3"/>
      <c r="B35" s="18" t="s">
        <v>47</v>
      </c>
      <c r="C35" s="8"/>
      <c r="D35" s="20" t="s">
        <v>42</v>
      </c>
      <c r="E35" s="10" t="s">
        <v>43</v>
      </c>
      <c r="F35" s="22" t="s">
        <v>44</v>
      </c>
      <c r="G35" s="15" t="s">
        <v>44</v>
      </c>
      <c r="H35" s="22">
        <f>H34</f>
        <v>2996.2400000000002</v>
      </c>
      <c r="I35" s="21"/>
      <c r="J35" s="3"/>
    </row>
    <row r="36" spans="1:10" ht="12.75">
      <c r="A36" s="3"/>
      <c r="B36" s="18" t="s">
        <v>48</v>
      </c>
      <c r="C36" s="8" t="s">
        <v>334</v>
      </c>
      <c r="D36" s="24" t="s">
        <v>49</v>
      </c>
      <c r="E36" s="10" t="s">
        <v>10</v>
      </c>
      <c r="F36" s="22">
        <v>306.53</v>
      </c>
      <c r="G36" s="15">
        <v>57.26</v>
      </c>
      <c r="H36" s="22">
        <f>F36*G36</f>
        <v>17551.907799999997</v>
      </c>
      <c r="I36" s="22"/>
      <c r="J36" s="3"/>
    </row>
    <row r="37" spans="1:10" ht="12.75">
      <c r="A37" s="3"/>
      <c r="B37" s="23" t="s">
        <v>50</v>
      </c>
      <c r="C37" s="193"/>
      <c r="D37" s="20" t="s">
        <v>35</v>
      </c>
      <c r="E37" s="10" t="s">
        <v>43</v>
      </c>
      <c r="F37" s="22" t="s">
        <v>44</v>
      </c>
      <c r="G37" s="15" t="s">
        <v>44</v>
      </c>
      <c r="H37" s="25">
        <f>H36</f>
        <v>17551.907799999997</v>
      </c>
      <c r="I37" s="25"/>
      <c r="J37" s="3"/>
    </row>
    <row r="38" spans="1:10" ht="12.75">
      <c r="A38" s="3"/>
      <c r="B38" s="26" t="s">
        <v>51</v>
      </c>
      <c r="C38" s="8" t="s">
        <v>335</v>
      </c>
      <c r="D38" s="24" t="s">
        <v>52</v>
      </c>
      <c r="E38" s="10" t="s">
        <v>26</v>
      </c>
      <c r="F38" s="22">
        <v>6.85</v>
      </c>
      <c r="G38" s="15">
        <v>1175.69</v>
      </c>
      <c r="H38" s="22">
        <f>F38*G38</f>
        <v>8053.4765</v>
      </c>
      <c r="I38" s="21"/>
      <c r="J38" s="3"/>
    </row>
    <row r="39" spans="1:10" ht="12.75">
      <c r="A39" s="3"/>
      <c r="B39" s="23" t="s">
        <v>53</v>
      </c>
      <c r="C39" s="193"/>
      <c r="D39" s="20" t="s">
        <v>18</v>
      </c>
      <c r="E39" s="10" t="s">
        <v>43</v>
      </c>
      <c r="F39" s="22" t="s">
        <v>44</v>
      </c>
      <c r="G39" s="15" t="s">
        <v>44</v>
      </c>
      <c r="H39" s="22">
        <f>H38</f>
        <v>8053.4765</v>
      </c>
      <c r="I39" s="17"/>
      <c r="J39" s="3"/>
    </row>
    <row r="40" spans="1:10" ht="12.75">
      <c r="A40" s="3"/>
      <c r="B40" s="18" t="s">
        <v>54</v>
      </c>
      <c r="C40" s="8"/>
      <c r="D40" s="20" t="s">
        <v>18</v>
      </c>
      <c r="E40" s="10" t="s">
        <v>43</v>
      </c>
      <c r="F40" s="22" t="s">
        <v>44</v>
      </c>
      <c r="G40" s="15" t="s">
        <v>44</v>
      </c>
      <c r="H40" s="16">
        <f>SUM(H31+H29+H33+H35+H37+H39)</f>
        <v>66490.3073</v>
      </c>
      <c r="I40" s="17">
        <f>H40*100/$H$165</f>
        <v>25.14719524442526</v>
      </c>
      <c r="J40" s="3"/>
    </row>
    <row r="41" spans="1:10" ht="12.75">
      <c r="A41" s="3"/>
      <c r="B41" s="18"/>
      <c r="C41" s="10"/>
      <c r="D41" s="20"/>
      <c r="E41" s="3"/>
      <c r="F41" s="20"/>
      <c r="G41" s="3"/>
      <c r="H41" s="20"/>
      <c r="I41" s="27"/>
      <c r="J41" s="3"/>
    </row>
    <row r="42" spans="1:10" ht="12.75">
      <c r="A42" s="3"/>
      <c r="B42" s="12" t="s">
        <v>55</v>
      </c>
      <c r="C42" s="56"/>
      <c r="D42" s="13" t="s">
        <v>56</v>
      </c>
      <c r="E42" s="3"/>
      <c r="F42" s="20"/>
      <c r="G42" s="3"/>
      <c r="H42" s="20"/>
      <c r="I42" s="27"/>
      <c r="J42" s="3"/>
    </row>
    <row r="43" spans="1:10" ht="12.75">
      <c r="A43" s="3"/>
      <c r="B43" s="26" t="s">
        <v>57</v>
      </c>
      <c r="C43" s="8" t="s">
        <v>336</v>
      </c>
      <c r="D43" s="24" t="s">
        <v>58</v>
      </c>
      <c r="E43" s="10" t="s">
        <v>10</v>
      </c>
      <c r="F43" s="22">
        <v>563.5</v>
      </c>
      <c r="G43" s="15">
        <v>41.04</v>
      </c>
      <c r="H43" s="22">
        <f>F43*G43</f>
        <v>23126.04</v>
      </c>
      <c r="I43" s="21"/>
      <c r="J43" s="3"/>
    </row>
    <row r="44" spans="1:10" ht="12.75">
      <c r="A44" s="3"/>
      <c r="B44" s="18" t="s">
        <v>59</v>
      </c>
      <c r="C44" s="10"/>
      <c r="D44" s="20" t="s">
        <v>18</v>
      </c>
      <c r="E44" s="10" t="s">
        <v>43</v>
      </c>
      <c r="F44" s="22" t="s">
        <v>44</v>
      </c>
      <c r="G44" s="15" t="s">
        <v>44</v>
      </c>
      <c r="H44" s="16">
        <f>H43</f>
        <v>23126.04</v>
      </c>
      <c r="I44" s="17">
        <f>H44*100/$H$165</f>
        <v>8.746463457996205</v>
      </c>
      <c r="J44" s="3"/>
    </row>
    <row r="45" spans="1:10" ht="12.75">
      <c r="A45" s="3"/>
      <c r="B45" s="18"/>
      <c r="C45" s="10"/>
      <c r="D45" s="20"/>
      <c r="E45" s="3"/>
      <c r="F45" s="20"/>
      <c r="G45" s="3"/>
      <c r="H45" s="20"/>
      <c r="I45" s="27"/>
      <c r="J45" s="3"/>
    </row>
    <row r="46" spans="1:10" ht="12.75">
      <c r="A46" s="3"/>
      <c r="B46" s="12" t="s">
        <v>60</v>
      </c>
      <c r="C46" s="8" t="s">
        <v>337</v>
      </c>
      <c r="D46" s="13" t="s">
        <v>61</v>
      </c>
      <c r="E46" s="10" t="s">
        <v>10</v>
      </c>
      <c r="F46" s="22">
        <v>266</v>
      </c>
      <c r="G46" s="15">
        <v>29.18</v>
      </c>
      <c r="H46" s="22">
        <f>F46*G46</f>
        <v>7761.88</v>
      </c>
      <c r="I46" s="21"/>
      <c r="J46" s="3"/>
    </row>
    <row r="47" spans="1:10" ht="12.75">
      <c r="A47" s="3"/>
      <c r="B47" s="18" t="s">
        <v>62</v>
      </c>
      <c r="C47" s="8"/>
      <c r="D47" s="20" t="s">
        <v>18</v>
      </c>
      <c r="E47" s="10" t="s">
        <v>43</v>
      </c>
      <c r="F47" s="22" t="s">
        <v>44</v>
      </c>
      <c r="G47" s="15" t="s">
        <v>44</v>
      </c>
      <c r="H47" s="16">
        <f>H46</f>
        <v>7761.88</v>
      </c>
      <c r="I47" s="17">
        <f>H47*100/$H$165</f>
        <v>2.9356085082163474</v>
      </c>
      <c r="J47" s="3"/>
    </row>
    <row r="48" spans="1:10" ht="12.75">
      <c r="A48" s="3"/>
      <c r="B48" s="12"/>
      <c r="C48" s="8"/>
      <c r="D48" s="20"/>
      <c r="E48" s="3"/>
      <c r="F48" s="20"/>
      <c r="G48" s="3"/>
      <c r="H48" s="20"/>
      <c r="I48" s="27"/>
      <c r="J48" s="3"/>
    </row>
    <row r="49" spans="1:10" ht="12.75">
      <c r="A49" s="3"/>
      <c r="B49" s="12" t="s">
        <v>63</v>
      </c>
      <c r="C49" s="8"/>
      <c r="D49" s="13" t="s">
        <v>64</v>
      </c>
      <c r="E49" s="10" t="s">
        <v>10</v>
      </c>
      <c r="F49" s="22">
        <v>306.53</v>
      </c>
      <c r="G49" s="15"/>
      <c r="H49" s="22"/>
      <c r="I49" s="21"/>
      <c r="J49" s="3"/>
    </row>
    <row r="50" spans="1:10" ht="12.75">
      <c r="A50" s="3"/>
      <c r="B50" s="18" t="s">
        <v>65</v>
      </c>
      <c r="C50" s="8" t="s">
        <v>338</v>
      </c>
      <c r="D50" s="20" t="s">
        <v>66</v>
      </c>
      <c r="E50" s="10" t="s">
        <v>10</v>
      </c>
      <c r="F50" s="22">
        <f>F49</f>
        <v>306.53</v>
      </c>
      <c r="G50" s="15">
        <v>58.59</v>
      </c>
      <c r="H50" s="22">
        <f>F50*G50</f>
        <v>17959.5927</v>
      </c>
      <c r="I50" s="21"/>
      <c r="J50" s="3"/>
    </row>
    <row r="51" spans="1:10" ht="12.75">
      <c r="A51" s="3"/>
      <c r="B51" s="18" t="s">
        <v>67</v>
      </c>
      <c r="C51" s="8"/>
      <c r="D51" s="20" t="s">
        <v>35</v>
      </c>
      <c r="E51" s="10" t="s">
        <v>19</v>
      </c>
      <c r="F51" s="22" t="s">
        <v>20</v>
      </c>
      <c r="G51" s="15" t="s">
        <v>21</v>
      </c>
      <c r="H51" s="22">
        <f>H50</f>
        <v>17959.5927</v>
      </c>
      <c r="I51" s="21"/>
      <c r="J51" s="3"/>
    </row>
    <row r="52" spans="1:10" ht="12.75">
      <c r="A52" s="3"/>
      <c r="B52" s="18" t="s">
        <v>68</v>
      </c>
      <c r="C52" s="8" t="s">
        <v>339</v>
      </c>
      <c r="D52" s="28" t="s">
        <v>69</v>
      </c>
      <c r="E52" s="29" t="s">
        <v>10</v>
      </c>
      <c r="F52" s="30">
        <f>F49</f>
        <v>306.53</v>
      </c>
      <c r="G52" s="31">
        <v>44.98</v>
      </c>
      <c r="H52" s="32">
        <f>F52*G52</f>
        <v>13787.719399999998</v>
      </c>
      <c r="I52" s="21"/>
      <c r="J52" s="3"/>
    </row>
    <row r="53" spans="1:10" ht="12.75">
      <c r="A53" s="3"/>
      <c r="B53" s="18" t="s">
        <v>70</v>
      </c>
      <c r="C53" s="8"/>
      <c r="D53" s="33" t="s">
        <v>35</v>
      </c>
      <c r="E53" s="29" t="s">
        <v>19</v>
      </c>
      <c r="F53" s="30" t="s">
        <v>20</v>
      </c>
      <c r="G53" s="31" t="s">
        <v>21</v>
      </c>
      <c r="H53" s="32">
        <f>H52</f>
        <v>13787.719399999998</v>
      </c>
      <c r="I53" s="21"/>
      <c r="J53" s="3"/>
    </row>
    <row r="54" spans="1:10" ht="12.75">
      <c r="A54" s="3"/>
      <c r="B54" s="18" t="s">
        <v>71</v>
      </c>
      <c r="C54" s="8">
        <v>6058</v>
      </c>
      <c r="D54" s="33" t="s">
        <v>72</v>
      </c>
      <c r="E54" s="29" t="s">
        <v>73</v>
      </c>
      <c r="F54" s="30">
        <v>60</v>
      </c>
      <c r="G54" s="31">
        <v>15.84</v>
      </c>
      <c r="H54" s="32">
        <f>F54*G54</f>
        <v>950.4</v>
      </c>
      <c r="I54" s="21"/>
      <c r="J54" s="3"/>
    </row>
    <row r="55" spans="1:10" ht="12.75">
      <c r="A55" s="3"/>
      <c r="B55" s="34"/>
      <c r="C55" s="43"/>
      <c r="D55" s="35"/>
      <c r="E55" s="36"/>
      <c r="F55" s="37"/>
      <c r="G55" s="38"/>
      <c r="H55" s="39"/>
      <c r="I55" s="40"/>
      <c r="J55" s="3"/>
    </row>
    <row r="56" spans="1:10" ht="12.75">
      <c r="A56" s="3"/>
      <c r="B56" s="4" t="s">
        <v>1</v>
      </c>
      <c r="C56" s="4"/>
      <c r="D56" s="5" t="s">
        <v>2</v>
      </c>
      <c r="E56" s="4" t="s">
        <v>3</v>
      </c>
      <c r="F56" s="4" t="s">
        <v>4</v>
      </c>
      <c r="G56" s="5" t="s">
        <v>5</v>
      </c>
      <c r="H56" s="5" t="s">
        <v>6</v>
      </c>
      <c r="I56" s="5" t="s">
        <v>7</v>
      </c>
      <c r="J56" s="3"/>
    </row>
    <row r="57" spans="1:10" ht="12.75">
      <c r="A57" s="3"/>
      <c r="B57" s="18"/>
      <c r="C57" s="10"/>
      <c r="D57" s="33"/>
      <c r="E57" s="29"/>
      <c r="F57" s="30"/>
      <c r="G57" s="31"/>
      <c r="H57" s="32"/>
      <c r="I57" s="21"/>
      <c r="J57" s="3"/>
    </row>
    <row r="58" spans="1:10" ht="12.75">
      <c r="A58" s="3"/>
      <c r="B58" s="18" t="s">
        <v>74</v>
      </c>
      <c r="C58" s="10"/>
      <c r="D58" s="33" t="s">
        <v>35</v>
      </c>
      <c r="E58" s="29" t="s">
        <v>19</v>
      </c>
      <c r="F58" s="30" t="s">
        <v>20</v>
      </c>
      <c r="G58" s="31" t="s">
        <v>21</v>
      </c>
      <c r="H58" s="32">
        <f>H54</f>
        <v>950.4</v>
      </c>
      <c r="I58" s="21"/>
      <c r="J58" s="3"/>
    </row>
    <row r="59" spans="1:10" ht="12.75">
      <c r="A59" s="3"/>
      <c r="B59" s="26" t="s">
        <v>370</v>
      </c>
      <c r="C59" s="10"/>
      <c r="D59" s="20" t="s">
        <v>18</v>
      </c>
      <c r="E59" s="10" t="s">
        <v>43</v>
      </c>
      <c r="F59" s="22" t="s">
        <v>44</v>
      </c>
      <c r="G59" s="15" t="s">
        <v>44</v>
      </c>
      <c r="H59" s="16">
        <f>H51+H53+H58</f>
        <v>32697.7121</v>
      </c>
      <c r="I59" s="17">
        <f>H59*100/$H$165</f>
        <v>12.366550608869064</v>
      </c>
      <c r="J59" s="3"/>
    </row>
    <row r="60" spans="1:10" ht="12.75">
      <c r="A60" s="3"/>
      <c r="B60" s="18"/>
      <c r="C60" s="10"/>
      <c r="D60" s="20"/>
      <c r="E60" s="3"/>
      <c r="F60" s="20"/>
      <c r="G60" s="3"/>
      <c r="H60" s="20"/>
      <c r="I60" s="27"/>
      <c r="J60" s="3"/>
    </row>
    <row r="61" spans="1:10" ht="12.75">
      <c r="A61" s="3"/>
      <c r="B61" s="12" t="s">
        <v>76</v>
      </c>
      <c r="C61" s="56"/>
      <c r="D61" s="13" t="s">
        <v>77</v>
      </c>
      <c r="E61" s="10"/>
      <c r="F61" s="22"/>
      <c r="G61" s="15"/>
      <c r="H61" s="22"/>
      <c r="I61" s="21"/>
      <c r="J61" s="3"/>
    </row>
    <row r="62" spans="1:10" ht="63.75">
      <c r="A62" s="3"/>
      <c r="B62" s="18" t="s">
        <v>78</v>
      </c>
      <c r="C62" s="10"/>
      <c r="D62" s="41" t="s">
        <v>79</v>
      </c>
      <c r="E62" s="10" t="s">
        <v>3</v>
      </c>
      <c r="F62" s="22">
        <v>1</v>
      </c>
      <c r="G62" s="15">
        <v>2100</v>
      </c>
      <c r="H62" s="22">
        <f aca="true" t="shared" si="0" ref="H62:H74">F62*G62</f>
        <v>2100</v>
      </c>
      <c r="I62" s="21"/>
      <c r="J62" s="3"/>
    </row>
    <row r="63" spans="1:10" ht="12.75">
      <c r="A63" s="3"/>
      <c r="B63" s="18" t="s">
        <v>80</v>
      </c>
      <c r="C63" s="10"/>
      <c r="D63" s="20" t="s">
        <v>81</v>
      </c>
      <c r="E63" s="10" t="s">
        <v>3</v>
      </c>
      <c r="F63" s="22">
        <v>1</v>
      </c>
      <c r="G63" s="15">
        <v>600</v>
      </c>
      <c r="H63" s="22">
        <f t="shared" si="0"/>
        <v>600</v>
      </c>
      <c r="I63" s="21"/>
      <c r="J63" s="3"/>
    </row>
    <row r="64" spans="1:10" ht="12.75">
      <c r="A64" s="3"/>
      <c r="B64" s="18" t="s">
        <v>82</v>
      </c>
      <c r="C64" s="8" t="s">
        <v>340</v>
      </c>
      <c r="D64" s="20" t="s">
        <v>83</v>
      </c>
      <c r="E64" s="10" t="s">
        <v>3</v>
      </c>
      <c r="F64" s="22">
        <v>4</v>
      </c>
      <c r="G64" s="15">
        <v>178.15</v>
      </c>
      <c r="H64" s="22">
        <f t="shared" si="0"/>
        <v>712.6</v>
      </c>
      <c r="I64" s="21"/>
      <c r="J64" s="3"/>
    </row>
    <row r="65" spans="1:10" ht="12.75">
      <c r="A65" s="3"/>
      <c r="B65" s="18" t="s">
        <v>84</v>
      </c>
      <c r="C65" s="10"/>
      <c r="D65" s="20" t="s">
        <v>85</v>
      </c>
      <c r="E65" s="10" t="s">
        <v>3</v>
      </c>
      <c r="F65" s="22">
        <v>2</v>
      </c>
      <c r="G65" s="15">
        <v>600</v>
      </c>
      <c r="H65" s="22">
        <f t="shared" si="0"/>
        <v>1200</v>
      </c>
      <c r="I65" s="21"/>
      <c r="J65" s="3"/>
    </row>
    <row r="66" spans="1:10" ht="25.5">
      <c r="A66" s="3"/>
      <c r="B66" s="18" t="s">
        <v>75</v>
      </c>
      <c r="C66" s="8" t="s">
        <v>341</v>
      </c>
      <c r="D66" s="41" t="s">
        <v>86</v>
      </c>
      <c r="E66" s="10" t="s">
        <v>3</v>
      </c>
      <c r="F66" s="22">
        <v>11</v>
      </c>
      <c r="G66" s="15">
        <v>180.75</v>
      </c>
      <c r="H66" s="22">
        <f t="shared" si="0"/>
        <v>1988.25</v>
      </c>
      <c r="I66" s="21"/>
      <c r="J66" s="3"/>
    </row>
    <row r="67" spans="1:10" ht="12.75">
      <c r="A67" s="3"/>
      <c r="B67" s="18" t="s">
        <v>87</v>
      </c>
      <c r="C67" s="10"/>
      <c r="D67" s="20" t="s">
        <v>88</v>
      </c>
      <c r="E67" s="10" t="s">
        <v>3</v>
      </c>
      <c r="F67" s="22">
        <v>2</v>
      </c>
      <c r="G67" s="15">
        <v>300</v>
      </c>
      <c r="H67" s="22">
        <f t="shared" si="0"/>
        <v>600</v>
      </c>
      <c r="I67" s="21"/>
      <c r="J67" s="3"/>
    </row>
    <row r="68" spans="1:10" ht="12.75">
      <c r="A68" s="3"/>
      <c r="B68" s="18" t="s">
        <v>89</v>
      </c>
      <c r="C68" s="10">
        <v>6008</v>
      </c>
      <c r="D68" s="20" t="s">
        <v>90</v>
      </c>
      <c r="E68" s="10" t="s">
        <v>3</v>
      </c>
      <c r="F68" s="22">
        <v>11</v>
      </c>
      <c r="G68" s="15">
        <v>25.95</v>
      </c>
      <c r="H68" s="22">
        <f t="shared" si="0"/>
        <v>285.45</v>
      </c>
      <c r="I68" s="21"/>
      <c r="J68" s="3"/>
    </row>
    <row r="69" spans="1:10" ht="12.75">
      <c r="A69" s="3"/>
      <c r="B69" s="18" t="s">
        <v>91</v>
      </c>
      <c r="C69" s="10">
        <v>6004</v>
      </c>
      <c r="D69" s="20" t="s">
        <v>92</v>
      </c>
      <c r="E69" s="10" t="s">
        <v>3</v>
      </c>
      <c r="F69" s="22">
        <v>6</v>
      </c>
      <c r="G69" s="15">
        <v>33.94</v>
      </c>
      <c r="H69" s="22">
        <f t="shared" si="0"/>
        <v>203.64</v>
      </c>
      <c r="I69" s="21"/>
      <c r="J69" s="3"/>
    </row>
    <row r="70" spans="1:10" ht="38.25">
      <c r="A70" s="3"/>
      <c r="B70" s="18" t="s">
        <v>93</v>
      </c>
      <c r="C70" s="10"/>
      <c r="D70" s="41" t="s">
        <v>94</v>
      </c>
      <c r="E70" s="10" t="s">
        <v>95</v>
      </c>
      <c r="F70" s="22">
        <v>2</v>
      </c>
      <c r="G70" s="15">
        <f>80*1.2</f>
        <v>96</v>
      </c>
      <c r="H70" s="22">
        <f t="shared" si="0"/>
        <v>192</v>
      </c>
      <c r="I70" s="21"/>
      <c r="J70" s="3"/>
    </row>
    <row r="71" spans="1:10" ht="25.5">
      <c r="A71" s="3"/>
      <c r="B71" s="18" t="s">
        <v>96</v>
      </c>
      <c r="C71" s="8" t="s">
        <v>342</v>
      </c>
      <c r="D71" s="41" t="s">
        <v>97</v>
      </c>
      <c r="E71" s="10" t="s">
        <v>3</v>
      </c>
      <c r="F71" s="22">
        <v>2</v>
      </c>
      <c r="G71" s="15">
        <v>223.05</v>
      </c>
      <c r="H71" s="22">
        <f t="shared" si="0"/>
        <v>446.1</v>
      </c>
      <c r="I71" s="21"/>
      <c r="J71" s="3"/>
    </row>
    <row r="72" spans="1:10" ht="25.5">
      <c r="A72" s="3"/>
      <c r="B72" s="18" t="s">
        <v>98</v>
      </c>
      <c r="C72" s="8" t="s">
        <v>343</v>
      </c>
      <c r="D72" s="41" t="s">
        <v>99</v>
      </c>
      <c r="E72" s="10" t="s">
        <v>3</v>
      </c>
      <c r="F72" s="22">
        <v>1</v>
      </c>
      <c r="G72" s="15">
        <v>434.35</v>
      </c>
      <c r="H72" s="22">
        <f t="shared" si="0"/>
        <v>434.35</v>
      </c>
      <c r="I72" s="21"/>
      <c r="J72" s="3"/>
    </row>
    <row r="73" spans="1:10" ht="38.25">
      <c r="A73" s="3"/>
      <c r="B73" s="18" t="s">
        <v>100</v>
      </c>
      <c r="C73" s="10"/>
      <c r="D73" s="41" t="s">
        <v>101</v>
      </c>
      <c r="E73" s="10" t="s">
        <v>3</v>
      </c>
      <c r="F73" s="22">
        <v>1</v>
      </c>
      <c r="G73" s="15">
        <v>230</v>
      </c>
      <c r="H73" s="22">
        <f t="shared" si="0"/>
        <v>230</v>
      </c>
      <c r="I73" s="21"/>
      <c r="J73" s="3"/>
    </row>
    <row r="74" spans="1:10" ht="12.75">
      <c r="A74" s="3"/>
      <c r="B74" s="18" t="s">
        <v>102</v>
      </c>
      <c r="C74" s="10">
        <v>9535</v>
      </c>
      <c r="D74" s="20" t="s">
        <v>103</v>
      </c>
      <c r="E74" s="29" t="s">
        <v>3</v>
      </c>
      <c r="F74" s="30">
        <v>2</v>
      </c>
      <c r="G74" s="15">
        <v>33.64</v>
      </c>
      <c r="H74" s="32">
        <f t="shared" si="0"/>
        <v>67.28</v>
      </c>
      <c r="I74" s="21"/>
      <c r="J74" s="3"/>
    </row>
    <row r="75" spans="1:10" ht="12.75">
      <c r="A75" s="3"/>
      <c r="B75" s="18" t="s">
        <v>104</v>
      </c>
      <c r="C75" s="10"/>
      <c r="D75" s="20" t="s">
        <v>18</v>
      </c>
      <c r="E75" s="10" t="s">
        <v>43</v>
      </c>
      <c r="F75" s="22" t="s">
        <v>44</v>
      </c>
      <c r="G75" s="15" t="s">
        <v>44</v>
      </c>
      <c r="H75" s="16">
        <f>SUM(H62:H74)</f>
        <v>9059.670000000002</v>
      </c>
      <c r="I75" s="17">
        <f>H75*100/$H$165</f>
        <v>3.4264436365458373</v>
      </c>
      <c r="J75" s="3"/>
    </row>
    <row r="76" spans="1:10" ht="12.75">
      <c r="A76" s="3"/>
      <c r="B76" s="18"/>
      <c r="C76" s="10"/>
      <c r="D76" s="20"/>
      <c r="E76" s="10"/>
      <c r="F76" s="22"/>
      <c r="G76" s="15"/>
      <c r="H76" s="22"/>
      <c r="I76" s="21"/>
      <c r="J76" s="3"/>
    </row>
    <row r="77" spans="1:10" ht="12.75">
      <c r="A77" s="3"/>
      <c r="B77" s="12" t="s">
        <v>105</v>
      </c>
      <c r="C77" s="56"/>
      <c r="D77" s="13" t="s">
        <v>106</v>
      </c>
      <c r="E77" s="10"/>
      <c r="F77" s="22"/>
      <c r="G77" s="15"/>
      <c r="H77" s="22"/>
      <c r="I77" s="21"/>
      <c r="J77" s="3"/>
    </row>
    <row r="78" spans="1:10" ht="12.75">
      <c r="A78" s="3"/>
      <c r="B78" s="18" t="s">
        <v>107</v>
      </c>
      <c r="C78" s="8" t="s">
        <v>344</v>
      </c>
      <c r="D78" s="20" t="s">
        <v>108</v>
      </c>
      <c r="E78" s="10" t="s">
        <v>73</v>
      </c>
      <c r="F78" s="22">
        <v>48</v>
      </c>
      <c r="G78" s="15">
        <v>30.96</v>
      </c>
      <c r="H78" s="22">
        <f aca="true" t="shared" si="1" ref="H78:H86">F78*G78</f>
        <v>1486.08</v>
      </c>
      <c r="I78" s="21"/>
      <c r="J78" s="3"/>
    </row>
    <row r="79" spans="1:10" ht="12.75">
      <c r="A79" s="3"/>
      <c r="B79" s="18" t="s">
        <v>109</v>
      </c>
      <c r="C79" s="8" t="s">
        <v>345</v>
      </c>
      <c r="D79" s="20" t="s">
        <v>110</v>
      </c>
      <c r="E79" s="10" t="s">
        <v>73</v>
      </c>
      <c r="F79" s="22">
        <v>75</v>
      </c>
      <c r="G79" s="15">
        <v>21.24</v>
      </c>
      <c r="H79" s="22">
        <f t="shared" si="1"/>
        <v>1592.9999999999998</v>
      </c>
      <c r="I79" s="21"/>
      <c r="J79" s="3"/>
    </row>
    <row r="80" spans="1:10" ht="12.75">
      <c r="A80" s="3"/>
      <c r="B80" s="18" t="s">
        <v>111</v>
      </c>
      <c r="C80" s="8" t="s">
        <v>346</v>
      </c>
      <c r="D80" s="20" t="s">
        <v>112</v>
      </c>
      <c r="E80" s="10" t="s">
        <v>73</v>
      </c>
      <c r="F80" s="22">
        <v>12</v>
      </c>
      <c r="G80" s="15">
        <v>15.54</v>
      </c>
      <c r="H80" s="22">
        <f t="shared" si="1"/>
        <v>186.48</v>
      </c>
      <c r="I80" s="21"/>
      <c r="J80" s="3"/>
    </row>
    <row r="81" spans="1:10" ht="12.75">
      <c r="A81" s="3"/>
      <c r="B81" s="18" t="s">
        <v>113</v>
      </c>
      <c r="C81" s="10">
        <v>72560</v>
      </c>
      <c r="D81" s="20" t="s">
        <v>114</v>
      </c>
      <c r="E81" s="10" t="s">
        <v>3</v>
      </c>
      <c r="F81" s="22">
        <v>2</v>
      </c>
      <c r="G81" s="15">
        <v>7.05</v>
      </c>
      <c r="H81" s="22">
        <f t="shared" si="1"/>
        <v>14.1</v>
      </c>
      <c r="I81" s="21"/>
      <c r="J81" s="3"/>
    </row>
    <row r="82" spans="1:10" ht="12.75">
      <c r="A82" s="3"/>
      <c r="B82" s="18" t="s">
        <v>115</v>
      </c>
      <c r="C82" s="10">
        <v>72558</v>
      </c>
      <c r="D82" s="20" t="s">
        <v>116</v>
      </c>
      <c r="E82" s="10" t="s">
        <v>3</v>
      </c>
      <c r="F82" s="22">
        <v>9</v>
      </c>
      <c r="G82" s="15">
        <v>5.95</v>
      </c>
      <c r="H82" s="22">
        <f t="shared" si="1"/>
        <v>53.550000000000004</v>
      </c>
      <c r="I82" s="21"/>
      <c r="J82" s="3"/>
    </row>
    <row r="83" spans="1:10" ht="12.75">
      <c r="A83" s="3"/>
      <c r="B83" s="18" t="s">
        <v>117</v>
      </c>
      <c r="C83" s="8" t="s">
        <v>347</v>
      </c>
      <c r="D83" s="20" t="s">
        <v>118</v>
      </c>
      <c r="E83" s="10" t="s">
        <v>3</v>
      </c>
      <c r="F83" s="22">
        <v>16</v>
      </c>
      <c r="G83" s="15">
        <v>112.88</v>
      </c>
      <c r="H83" s="22">
        <f t="shared" si="1"/>
        <v>1806.08</v>
      </c>
      <c r="I83" s="21"/>
      <c r="J83" s="3"/>
    </row>
    <row r="84" spans="1:10" ht="12.75">
      <c r="A84" s="3"/>
      <c r="B84" s="18" t="s">
        <v>119</v>
      </c>
      <c r="C84" s="10">
        <v>40777</v>
      </c>
      <c r="D84" s="20" t="s">
        <v>120</v>
      </c>
      <c r="E84" s="10" t="s">
        <v>3</v>
      </c>
      <c r="F84" s="14">
        <v>3</v>
      </c>
      <c r="G84" s="15">
        <v>104.95</v>
      </c>
      <c r="H84" s="22">
        <f t="shared" si="1"/>
        <v>314.85</v>
      </c>
      <c r="I84" s="21"/>
      <c r="J84" s="3"/>
    </row>
    <row r="85" spans="1:10" ht="12.75">
      <c r="A85" s="3"/>
      <c r="B85" s="18" t="s">
        <v>121</v>
      </c>
      <c r="C85" s="10">
        <v>74197</v>
      </c>
      <c r="D85" s="24" t="s">
        <v>122</v>
      </c>
      <c r="E85" s="10" t="s">
        <v>3</v>
      </c>
      <c r="F85" s="14">
        <v>1</v>
      </c>
      <c r="G85" s="15">
        <v>1156.84</v>
      </c>
      <c r="H85" s="22">
        <f t="shared" si="1"/>
        <v>1156.84</v>
      </c>
      <c r="I85" s="21"/>
      <c r="J85" s="3"/>
    </row>
    <row r="86" spans="1:10" ht="12.75">
      <c r="A86" s="3"/>
      <c r="B86" s="18" t="s">
        <v>123</v>
      </c>
      <c r="C86" s="8" t="s">
        <v>348</v>
      </c>
      <c r="D86" s="20" t="s">
        <v>124</v>
      </c>
      <c r="E86" s="10" t="s">
        <v>3</v>
      </c>
      <c r="F86" s="22">
        <v>1</v>
      </c>
      <c r="G86" s="15">
        <v>1096.59</v>
      </c>
      <c r="H86" s="22">
        <f t="shared" si="1"/>
        <v>1096.59</v>
      </c>
      <c r="I86" s="21"/>
      <c r="J86" s="3"/>
    </row>
    <row r="87" spans="1:10" ht="12.75">
      <c r="A87" s="3"/>
      <c r="B87" s="18" t="s">
        <v>125</v>
      </c>
      <c r="C87" s="10"/>
      <c r="D87" s="20" t="s">
        <v>18</v>
      </c>
      <c r="E87" s="10" t="s">
        <v>43</v>
      </c>
      <c r="F87" s="22" t="s">
        <v>44</v>
      </c>
      <c r="G87" s="15" t="s">
        <v>44</v>
      </c>
      <c r="H87" s="16">
        <f>SUM(H78:H86)</f>
        <v>7707.570000000001</v>
      </c>
      <c r="I87" s="17">
        <f>H87*100/$H$165</f>
        <v>2.91506800796625</v>
      </c>
      <c r="J87" s="3"/>
    </row>
    <row r="88" spans="1:10" ht="12.75">
      <c r="A88" s="3"/>
      <c r="B88" s="18"/>
      <c r="C88" s="10"/>
      <c r="D88" s="20"/>
      <c r="E88" s="3"/>
      <c r="F88" s="20"/>
      <c r="G88" s="3"/>
      <c r="H88" s="20"/>
      <c r="I88" s="27"/>
      <c r="J88" s="3"/>
    </row>
    <row r="89" spans="1:10" ht="12.75">
      <c r="A89" s="3"/>
      <c r="B89" s="12" t="s">
        <v>126</v>
      </c>
      <c r="C89" s="56"/>
      <c r="D89" s="13" t="s">
        <v>127</v>
      </c>
      <c r="E89" s="10"/>
      <c r="F89" s="22"/>
      <c r="G89" s="15"/>
      <c r="H89" s="22"/>
      <c r="I89" s="21"/>
      <c r="J89" s="3"/>
    </row>
    <row r="90" spans="1:10" ht="38.25">
      <c r="A90" s="3"/>
      <c r="B90" s="18" t="s">
        <v>128</v>
      </c>
      <c r="C90" s="10"/>
      <c r="D90" s="41" t="s">
        <v>129</v>
      </c>
      <c r="E90" s="10" t="s">
        <v>3</v>
      </c>
      <c r="F90" s="22">
        <v>107</v>
      </c>
      <c r="G90" s="15">
        <f>35*1.2</f>
        <v>42</v>
      </c>
      <c r="H90" s="22">
        <f aca="true" t="shared" si="2" ref="H90:H97">F90*G90</f>
        <v>4494</v>
      </c>
      <c r="I90" s="21"/>
      <c r="J90" s="3"/>
    </row>
    <row r="91" spans="1:10" ht="12.75">
      <c r="A91" s="3"/>
      <c r="B91" s="18" t="s">
        <v>130</v>
      </c>
      <c r="C91" s="10">
        <v>72331</v>
      </c>
      <c r="D91" s="20" t="s">
        <v>131</v>
      </c>
      <c r="E91" s="10" t="s">
        <v>3</v>
      </c>
      <c r="F91" s="22">
        <v>17</v>
      </c>
      <c r="G91" s="15">
        <v>7.29</v>
      </c>
      <c r="H91" s="22">
        <f t="shared" si="2"/>
        <v>123.93</v>
      </c>
      <c r="I91" s="21"/>
      <c r="J91" s="3"/>
    </row>
    <row r="92" spans="1:10" ht="12.75">
      <c r="A92" s="3"/>
      <c r="B92" s="18" t="s">
        <v>132</v>
      </c>
      <c r="C92" s="10">
        <v>72332</v>
      </c>
      <c r="D92" s="20" t="s">
        <v>133</v>
      </c>
      <c r="E92" s="10" t="s">
        <v>3</v>
      </c>
      <c r="F92" s="22">
        <v>1</v>
      </c>
      <c r="G92" s="15">
        <v>9.8</v>
      </c>
      <c r="H92" s="22">
        <f t="shared" si="2"/>
        <v>9.8</v>
      </c>
      <c r="I92" s="21"/>
      <c r="J92" s="3"/>
    </row>
    <row r="93" spans="1:10" ht="12.75">
      <c r="A93" s="3"/>
      <c r="B93" s="18" t="s">
        <v>134</v>
      </c>
      <c r="C93" s="10">
        <v>12142</v>
      </c>
      <c r="D93" s="20" t="s">
        <v>135</v>
      </c>
      <c r="E93" s="10" t="s">
        <v>3</v>
      </c>
      <c r="F93" s="22">
        <v>8</v>
      </c>
      <c r="G93" s="15">
        <v>6.71</v>
      </c>
      <c r="H93" s="22">
        <f t="shared" si="2"/>
        <v>53.68</v>
      </c>
      <c r="I93" s="21"/>
      <c r="J93" s="3"/>
    </row>
    <row r="94" spans="1:10" ht="12.75">
      <c r="A94" s="3"/>
      <c r="B94" s="18" t="s">
        <v>136</v>
      </c>
      <c r="C94" s="10">
        <v>7536</v>
      </c>
      <c r="D94" s="20" t="s">
        <v>137</v>
      </c>
      <c r="E94" s="10" t="s">
        <v>3</v>
      </c>
      <c r="F94" s="22">
        <v>42</v>
      </c>
      <c r="G94" s="15">
        <v>8.19</v>
      </c>
      <c r="H94" s="22">
        <f t="shared" si="2"/>
        <v>343.97999999999996</v>
      </c>
      <c r="I94" s="21"/>
      <c r="J94" s="3"/>
    </row>
    <row r="95" spans="1:10" ht="12.75">
      <c r="A95" s="3"/>
      <c r="B95" s="18" t="s">
        <v>138</v>
      </c>
      <c r="C95" s="10">
        <v>72339</v>
      </c>
      <c r="D95" s="20" t="s">
        <v>139</v>
      </c>
      <c r="E95" s="10" t="s">
        <v>3</v>
      </c>
      <c r="F95" s="22">
        <v>6</v>
      </c>
      <c r="G95" s="15">
        <v>24.24</v>
      </c>
      <c r="H95" s="22">
        <f t="shared" si="2"/>
        <v>145.44</v>
      </c>
      <c r="I95" s="21"/>
      <c r="J95" s="3"/>
    </row>
    <row r="96" spans="1:10" ht="12.75">
      <c r="A96" s="3"/>
      <c r="B96" s="18" t="s">
        <v>140</v>
      </c>
      <c r="C96" s="8" t="s">
        <v>349</v>
      </c>
      <c r="D96" s="20" t="s">
        <v>141</v>
      </c>
      <c r="E96" s="10" t="s">
        <v>3</v>
      </c>
      <c r="F96" s="22">
        <v>12</v>
      </c>
      <c r="G96" s="15">
        <v>86.34</v>
      </c>
      <c r="H96" s="22">
        <f t="shared" si="2"/>
        <v>1036.08</v>
      </c>
      <c r="I96" s="21"/>
      <c r="J96" s="3"/>
    </row>
    <row r="97" spans="1:10" ht="12.75">
      <c r="A97" s="3"/>
      <c r="B97" s="18" t="s">
        <v>142</v>
      </c>
      <c r="C97" s="10">
        <v>72275</v>
      </c>
      <c r="D97" s="20" t="s">
        <v>143</v>
      </c>
      <c r="E97" s="10" t="s">
        <v>3</v>
      </c>
      <c r="F97" s="22">
        <v>21</v>
      </c>
      <c r="G97" s="15">
        <f>'[2]plan1'!$D$219*1.2</f>
        <v>27.599999999999998</v>
      </c>
      <c r="H97" s="22">
        <f t="shared" si="2"/>
        <v>579.5999999999999</v>
      </c>
      <c r="I97" s="21"/>
      <c r="J97" s="3"/>
    </row>
    <row r="98" spans="1:10" ht="12.75">
      <c r="A98" s="3"/>
      <c r="B98" s="34"/>
      <c r="C98" s="43"/>
      <c r="D98" s="42"/>
      <c r="E98" s="43"/>
      <c r="F98" s="44"/>
      <c r="G98" s="45"/>
      <c r="H98" s="44"/>
      <c r="I98" s="40"/>
      <c r="J98" s="3"/>
    </row>
    <row r="99" spans="1:10" ht="12.75">
      <c r="A99" s="3"/>
      <c r="B99" s="4" t="s">
        <v>1</v>
      </c>
      <c r="C99" s="4"/>
      <c r="D99" s="5" t="s">
        <v>2</v>
      </c>
      <c r="E99" s="4" t="s">
        <v>3</v>
      </c>
      <c r="F99" s="4" t="s">
        <v>4</v>
      </c>
      <c r="G99" s="5" t="s">
        <v>5</v>
      </c>
      <c r="H99" s="5" t="s">
        <v>6</v>
      </c>
      <c r="I99" s="5" t="s">
        <v>7</v>
      </c>
      <c r="J99" s="3"/>
    </row>
    <row r="100" spans="1:10" ht="12.75">
      <c r="A100" s="3"/>
      <c r="B100" s="18"/>
      <c r="C100" s="10"/>
      <c r="D100" s="20"/>
      <c r="E100" s="10"/>
      <c r="F100" s="22"/>
      <c r="G100" s="15"/>
      <c r="H100" s="22"/>
      <c r="I100" s="21"/>
      <c r="J100" s="3"/>
    </row>
    <row r="101" spans="1:10" ht="12.75">
      <c r="A101" s="3"/>
      <c r="B101" s="18" t="s">
        <v>144</v>
      </c>
      <c r="C101" s="8" t="s">
        <v>350</v>
      </c>
      <c r="D101" s="20" t="s">
        <v>145</v>
      </c>
      <c r="E101" s="10" t="s">
        <v>3</v>
      </c>
      <c r="F101" s="22">
        <v>1</v>
      </c>
      <c r="G101" s="15">
        <v>126.91</v>
      </c>
      <c r="H101" s="22">
        <f>F101*G101</f>
        <v>126.91</v>
      </c>
      <c r="I101" s="21"/>
      <c r="J101" s="3"/>
    </row>
    <row r="102" spans="1:10" ht="12.75">
      <c r="A102" s="3"/>
      <c r="B102" s="18" t="s">
        <v>146</v>
      </c>
      <c r="C102" s="10"/>
      <c r="D102" s="20" t="s">
        <v>147</v>
      </c>
      <c r="E102" s="10" t="s">
        <v>3</v>
      </c>
      <c r="F102" s="22">
        <v>1</v>
      </c>
      <c r="G102" s="15">
        <f>'[2]plan1'!$D$244*0.1*1.2</f>
        <v>99.3876</v>
      </c>
      <c r="H102" s="22">
        <f>F102*G102</f>
        <v>99.3876</v>
      </c>
      <c r="I102" s="21"/>
      <c r="J102" s="3"/>
    </row>
    <row r="103" spans="1:10" ht="12.75">
      <c r="A103" s="3"/>
      <c r="B103" s="18" t="s">
        <v>148</v>
      </c>
      <c r="C103" s="10"/>
      <c r="D103" s="20" t="s">
        <v>18</v>
      </c>
      <c r="E103" s="10" t="s">
        <v>43</v>
      </c>
      <c r="F103" s="22" t="s">
        <v>44</v>
      </c>
      <c r="G103" s="15" t="s">
        <v>44</v>
      </c>
      <c r="H103" s="16">
        <f>SUM(H90:H102)</f>
        <v>7012.8076</v>
      </c>
      <c r="I103" s="17">
        <f>H103*100/$H$165</f>
        <v>2.652303006107317</v>
      </c>
      <c r="J103" s="3"/>
    </row>
    <row r="104" spans="1:10" ht="12.75">
      <c r="A104" s="3"/>
      <c r="B104" s="18"/>
      <c r="C104" s="10"/>
      <c r="D104" s="20"/>
      <c r="E104" s="10"/>
      <c r="F104" s="22"/>
      <c r="G104" s="15"/>
      <c r="H104" s="16"/>
      <c r="I104" s="17"/>
      <c r="J104" s="3"/>
    </row>
    <row r="105" spans="1:10" ht="12.75">
      <c r="A105" s="3"/>
      <c r="B105" s="12" t="s">
        <v>149</v>
      </c>
      <c r="C105" s="56"/>
      <c r="D105" s="13" t="s">
        <v>150</v>
      </c>
      <c r="E105" s="10"/>
      <c r="F105" s="22"/>
      <c r="G105" s="15"/>
      <c r="H105" s="22"/>
      <c r="I105" s="21"/>
      <c r="J105" s="3"/>
    </row>
    <row r="106" spans="1:10" ht="12.75">
      <c r="A106" s="3"/>
      <c r="B106" s="18" t="s">
        <v>151</v>
      </c>
      <c r="C106" s="8" t="s">
        <v>351</v>
      </c>
      <c r="D106" s="20" t="s">
        <v>152</v>
      </c>
      <c r="E106" s="10" t="s">
        <v>10</v>
      </c>
      <c r="F106" s="22">
        <v>1385.41</v>
      </c>
      <c r="G106" s="15">
        <v>3.7</v>
      </c>
      <c r="H106" s="22">
        <f>F106*G106</f>
        <v>5126.017000000001</v>
      </c>
      <c r="I106" s="21"/>
      <c r="J106" s="3"/>
    </row>
    <row r="107" spans="1:10" ht="12.75">
      <c r="A107" s="3"/>
      <c r="B107" s="18" t="s">
        <v>153</v>
      </c>
      <c r="C107" s="10"/>
      <c r="D107" s="20" t="s">
        <v>35</v>
      </c>
      <c r="E107" s="10" t="s">
        <v>19</v>
      </c>
      <c r="F107" s="22" t="s">
        <v>20</v>
      </c>
      <c r="G107" s="15" t="s">
        <v>21</v>
      </c>
      <c r="H107" s="22">
        <f>H106</f>
        <v>5126.017000000001</v>
      </c>
      <c r="I107" s="21"/>
      <c r="J107" s="3"/>
    </row>
    <row r="108" spans="1:10" ht="12.75">
      <c r="A108" s="3"/>
      <c r="B108" s="18" t="s">
        <v>154</v>
      </c>
      <c r="C108" s="8" t="s">
        <v>352</v>
      </c>
      <c r="D108" s="20" t="s">
        <v>155</v>
      </c>
      <c r="E108" s="10" t="s">
        <v>10</v>
      </c>
      <c r="F108" s="22">
        <v>1385.41</v>
      </c>
      <c r="G108" s="15">
        <v>14.15</v>
      </c>
      <c r="H108" s="22">
        <f>F108*G108</f>
        <v>19603.5515</v>
      </c>
      <c r="I108" s="21"/>
      <c r="J108" s="3"/>
    </row>
    <row r="109" spans="1:10" ht="12.75">
      <c r="A109" s="3"/>
      <c r="B109" s="18" t="s">
        <v>156</v>
      </c>
      <c r="C109" s="10"/>
      <c r="D109" s="20" t="s">
        <v>35</v>
      </c>
      <c r="E109" s="10" t="s">
        <v>19</v>
      </c>
      <c r="F109" s="22" t="s">
        <v>20</v>
      </c>
      <c r="G109" s="15" t="s">
        <v>21</v>
      </c>
      <c r="H109" s="22">
        <f>H108</f>
        <v>19603.5515</v>
      </c>
      <c r="I109" s="21"/>
      <c r="J109" s="3"/>
    </row>
    <row r="110" spans="1:10" ht="12.75">
      <c r="A110" s="3"/>
      <c r="B110" s="18" t="s">
        <v>157</v>
      </c>
      <c r="C110" s="10">
        <v>5995</v>
      </c>
      <c r="D110" s="20" t="s">
        <v>158</v>
      </c>
      <c r="E110" s="10" t="s">
        <v>10</v>
      </c>
      <c r="F110" s="22">
        <f>F106-F112</f>
        <v>1303.8600000000001</v>
      </c>
      <c r="G110" s="15">
        <v>10.65</v>
      </c>
      <c r="H110" s="22">
        <f>F110*G110</f>
        <v>13886.109000000002</v>
      </c>
      <c r="I110" s="21"/>
      <c r="J110" s="3"/>
    </row>
    <row r="111" spans="1:10" ht="12.75">
      <c r="A111" s="3"/>
      <c r="B111" s="18" t="s">
        <v>159</v>
      </c>
      <c r="C111" s="10"/>
      <c r="D111" s="20" t="s">
        <v>35</v>
      </c>
      <c r="E111" s="10" t="s">
        <v>19</v>
      </c>
      <c r="F111" s="22" t="s">
        <v>20</v>
      </c>
      <c r="G111" s="15" t="s">
        <v>21</v>
      </c>
      <c r="H111" s="22">
        <f>H110</f>
        <v>13886.109000000002</v>
      </c>
      <c r="I111" s="21"/>
      <c r="J111" s="3"/>
    </row>
    <row r="112" spans="1:10" ht="12.75">
      <c r="A112" s="3"/>
      <c r="B112" s="18" t="s">
        <v>160</v>
      </c>
      <c r="C112" s="8" t="s">
        <v>353</v>
      </c>
      <c r="D112" s="20" t="s">
        <v>161</v>
      </c>
      <c r="E112" s="10" t="s">
        <v>10</v>
      </c>
      <c r="F112" s="22">
        <v>81.55</v>
      </c>
      <c r="G112" s="15">
        <v>29.44</v>
      </c>
      <c r="H112" s="22">
        <f>F112*G112</f>
        <v>2400.832</v>
      </c>
      <c r="I112" s="21"/>
      <c r="J112" s="3"/>
    </row>
    <row r="113" spans="1:10" ht="12.75">
      <c r="A113" s="3"/>
      <c r="B113" s="18" t="s">
        <v>162</v>
      </c>
      <c r="C113" s="10"/>
      <c r="D113" s="20" t="s">
        <v>35</v>
      </c>
      <c r="E113" s="10" t="s">
        <v>19</v>
      </c>
      <c r="F113" s="22" t="s">
        <v>20</v>
      </c>
      <c r="G113" s="15" t="s">
        <v>21</v>
      </c>
      <c r="H113" s="22">
        <f>H112</f>
        <v>2400.832</v>
      </c>
      <c r="I113" s="11"/>
      <c r="J113" s="3"/>
    </row>
    <row r="114" spans="1:10" ht="12.75">
      <c r="A114" s="3"/>
      <c r="B114" s="18" t="s">
        <v>163</v>
      </c>
      <c r="C114" s="10"/>
      <c r="D114" s="20" t="s">
        <v>164</v>
      </c>
      <c r="E114" s="10" t="s">
        <v>73</v>
      </c>
      <c r="F114" s="14">
        <v>19</v>
      </c>
      <c r="G114" s="15">
        <v>24.97</v>
      </c>
      <c r="H114" s="22">
        <f>F114*G114</f>
        <v>474.42999999999995</v>
      </c>
      <c r="I114" s="11"/>
      <c r="J114" s="3"/>
    </row>
    <row r="115" spans="1:10" ht="12.75">
      <c r="A115" s="3"/>
      <c r="B115" s="18" t="s">
        <v>165</v>
      </c>
      <c r="C115" s="10"/>
      <c r="D115" s="20" t="s">
        <v>35</v>
      </c>
      <c r="E115" s="10" t="s">
        <v>19</v>
      </c>
      <c r="F115" s="22" t="s">
        <v>20</v>
      </c>
      <c r="G115" s="15" t="s">
        <v>21</v>
      </c>
      <c r="H115" s="22">
        <f>H114</f>
        <v>474.42999999999995</v>
      </c>
      <c r="I115" s="11"/>
      <c r="J115" s="3"/>
    </row>
    <row r="116" spans="1:10" ht="12.75">
      <c r="A116" s="3"/>
      <c r="B116" s="18" t="s">
        <v>166</v>
      </c>
      <c r="C116" s="10"/>
      <c r="D116" s="20" t="s">
        <v>18</v>
      </c>
      <c r="E116" s="10" t="s">
        <v>43</v>
      </c>
      <c r="F116" s="22" t="s">
        <v>44</v>
      </c>
      <c r="G116" s="15" t="s">
        <v>44</v>
      </c>
      <c r="H116" s="16">
        <f>H107+H109+H111+H113+H115</f>
        <v>41490.93950000001</v>
      </c>
      <c r="I116" s="17">
        <f>H116*100/$H$165</f>
        <v>15.692223405938993</v>
      </c>
      <c r="J116" s="3"/>
    </row>
    <row r="117" spans="1:10" ht="12.75">
      <c r="A117" s="3"/>
      <c r="B117" s="18"/>
      <c r="C117" s="10"/>
      <c r="D117" s="19"/>
      <c r="E117" s="10"/>
      <c r="F117" s="14"/>
      <c r="G117" s="15"/>
      <c r="H117" s="22"/>
      <c r="I117" s="21"/>
      <c r="J117" s="3"/>
    </row>
    <row r="118" spans="1:10" ht="12.75">
      <c r="A118" s="3"/>
      <c r="B118" s="12" t="s">
        <v>167</v>
      </c>
      <c r="C118" s="56"/>
      <c r="D118" s="13" t="s">
        <v>168</v>
      </c>
      <c r="E118" s="10"/>
      <c r="F118" s="22"/>
      <c r="G118" s="15"/>
      <c r="H118" s="22"/>
      <c r="I118" s="21"/>
      <c r="J118" s="3"/>
    </row>
    <row r="119" spans="1:10" ht="12.75">
      <c r="A119" s="3"/>
      <c r="B119" s="18" t="s">
        <v>169</v>
      </c>
      <c r="C119" s="8" t="s">
        <v>354</v>
      </c>
      <c r="D119" s="20" t="s">
        <v>170</v>
      </c>
      <c r="E119" s="10" t="s">
        <v>10</v>
      </c>
      <c r="F119" s="22">
        <v>265.84</v>
      </c>
      <c r="G119" s="15">
        <v>32.72</v>
      </c>
      <c r="H119" s="22">
        <f>F119*G119</f>
        <v>8698.2848</v>
      </c>
      <c r="I119" s="21"/>
      <c r="J119" s="3"/>
    </row>
    <row r="120" spans="1:10" ht="12.75">
      <c r="A120" s="3"/>
      <c r="B120" s="18" t="s">
        <v>171</v>
      </c>
      <c r="C120" s="10"/>
      <c r="D120" s="20" t="s">
        <v>18</v>
      </c>
      <c r="E120" s="10" t="s">
        <v>43</v>
      </c>
      <c r="F120" s="22" t="s">
        <v>44</v>
      </c>
      <c r="G120" s="15" t="s">
        <v>44</v>
      </c>
      <c r="H120" s="16">
        <f>H119</f>
        <v>8698.2848</v>
      </c>
      <c r="I120" s="17">
        <f>H120*100/$H$165</f>
        <v>3.2897647046551777</v>
      </c>
      <c r="J120" s="3"/>
    </row>
    <row r="121" spans="1:10" ht="12.75">
      <c r="A121" s="3"/>
      <c r="B121" s="18"/>
      <c r="C121" s="10"/>
      <c r="D121" s="20"/>
      <c r="E121" s="10"/>
      <c r="F121" s="22"/>
      <c r="G121" s="15"/>
      <c r="H121" s="16"/>
      <c r="I121" s="17"/>
      <c r="J121" s="3"/>
    </row>
    <row r="122" spans="1:10" ht="12.75">
      <c r="A122" s="3"/>
      <c r="B122" s="12" t="s">
        <v>172</v>
      </c>
      <c r="C122" s="56"/>
      <c r="D122" s="13" t="s">
        <v>173</v>
      </c>
      <c r="E122" s="10"/>
      <c r="F122" s="22"/>
      <c r="G122" s="15"/>
      <c r="H122" s="16"/>
      <c r="I122" s="17"/>
      <c r="J122" s="3"/>
    </row>
    <row r="123" spans="1:10" ht="12.75">
      <c r="A123" s="3"/>
      <c r="B123" s="18" t="s">
        <v>174</v>
      </c>
      <c r="C123" s="10"/>
      <c r="D123" s="20" t="s">
        <v>175</v>
      </c>
      <c r="E123" s="10"/>
      <c r="F123" s="22"/>
      <c r="G123" s="15"/>
      <c r="H123" s="16"/>
      <c r="I123" s="17"/>
      <c r="J123" s="3"/>
    </row>
    <row r="124" spans="1:10" ht="12.75">
      <c r="A124" s="3"/>
      <c r="B124" s="18" t="s">
        <v>176</v>
      </c>
      <c r="C124" s="8" t="s">
        <v>355</v>
      </c>
      <c r="D124" s="20" t="s">
        <v>177</v>
      </c>
      <c r="E124" s="10" t="s">
        <v>10</v>
      </c>
      <c r="F124" s="22">
        <v>50.2</v>
      </c>
      <c r="G124" s="15">
        <v>369.86</v>
      </c>
      <c r="H124" s="22">
        <f>F124*G124</f>
        <v>18566.972</v>
      </c>
      <c r="I124" s="27"/>
      <c r="J124" s="3"/>
    </row>
    <row r="125" spans="1:10" ht="12.75">
      <c r="A125" s="3"/>
      <c r="B125" s="18" t="s">
        <v>178</v>
      </c>
      <c r="C125" s="10"/>
      <c r="D125" s="20" t="s">
        <v>179</v>
      </c>
      <c r="E125" s="10" t="s">
        <v>10</v>
      </c>
      <c r="F125" s="22">
        <v>42.2</v>
      </c>
      <c r="G125" s="15">
        <v>99.21</v>
      </c>
      <c r="H125" s="22">
        <f>F125*G125</f>
        <v>4186.662</v>
      </c>
      <c r="I125" s="21"/>
      <c r="J125" s="3"/>
    </row>
    <row r="126" spans="1:10" ht="12.75">
      <c r="A126" s="3"/>
      <c r="B126" s="18" t="s">
        <v>180</v>
      </c>
      <c r="C126" s="10"/>
      <c r="D126" s="20" t="s">
        <v>35</v>
      </c>
      <c r="E126" s="10" t="s">
        <v>19</v>
      </c>
      <c r="F126" s="22" t="s">
        <v>20</v>
      </c>
      <c r="G126" s="15" t="s">
        <v>21</v>
      </c>
      <c r="H126" s="22">
        <f>SUM(H124:H125)</f>
        <v>22753.634000000002</v>
      </c>
      <c r="I126" s="21"/>
      <c r="J126" s="3"/>
    </row>
    <row r="127" spans="1:10" ht="12.75">
      <c r="A127" s="3"/>
      <c r="B127" s="18" t="s">
        <v>181</v>
      </c>
      <c r="C127" s="10"/>
      <c r="D127" s="20" t="s">
        <v>182</v>
      </c>
      <c r="E127" s="10"/>
      <c r="F127" s="20"/>
      <c r="G127" s="3"/>
      <c r="H127" s="20"/>
      <c r="I127" s="27"/>
      <c r="J127" s="3"/>
    </row>
    <row r="128" spans="1:10" ht="12.75">
      <c r="A128" s="3"/>
      <c r="B128" s="18" t="s">
        <v>183</v>
      </c>
      <c r="C128" s="10">
        <v>68050</v>
      </c>
      <c r="D128" s="20" t="s">
        <v>184</v>
      </c>
      <c r="E128" s="10" t="s">
        <v>10</v>
      </c>
      <c r="F128" s="22">
        <v>9.45</v>
      </c>
      <c r="G128" s="15">
        <v>313.05</v>
      </c>
      <c r="H128" s="22">
        <f>F128*G128</f>
        <v>2958.3224999999998</v>
      </c>
      <c r="I128" s="27"/>
      <c r="J128" s="3"/>
    </row>
    <row r="129" spans="1:10" ht="12.75">
      <c r="A129" s="3"/>
      <c r="B129" s="18" t="s">
        <v>185</v>
      </c>
      <c r="C129" s="10"/>
      <c r="D129" s="20" t="s">
        <v>179</v>
      </c>
      <c r="E129" s="10" t="s">
        <v>10</v>
      </c>
      <c r="F129" s="46">
        <v>8</v>
      </c>
      <c r="G129" s="15">
        <f>'[2]plan1'!$D$76*4*1.2</f>
        <v>144</v>
      </c>
      <c r="H129" s="22">
        <f>F129*G129</f>
        <v>1152</v>
      </c>
      <c r="I129" s="27"/>
      <c r="J129" s="3"/>
    </row>
    <row r="130" spans="1:10" ht="12.75">
      <c r="A130" s="3"/>
      <c r="B130" s="18" t="s">
        <v>186</v>
      </c>
      <c r="C130" s="10"/>
      <c r="D130" s="20" t="s">
        <v>35</v>
      </c>
      <c r="E130" s="10" t="s">
        <v>19</v>
      </c>
      <c r="F130" s="22" t="s">
        <v>20</v>
      </c>
      <c r="G130" s="15" t="s">
        <v>21</v>
      </c>
      <c r="H130" s="22">
        <f>SUM(H128:H129)</f>
        <v>4110.3225</v>
      </c>
      <c r="I130" s="27"/>
      <c r="J130" s="3"/>
    </row>
    <row r="131" spans="1:10" ht="12.75">
      <c r="A131" s="3"/>
      <c r="B131" s="18" t="s">
        <v>187</v>
      </c>
      <c r="C131" s="10"/>
      <c r="D131" s="20" t="s">
        <v>188</v>
      </c>
      <c r="E131" s="10"/>
      <c r="F131" s="22"/>
      <c r="G131" s="15"/>
      <c r="H131" s="22"/>
      <c r="I131" s="21"/>
      <c r="J131" s="3"/>
    </row>
    <row r="132" spans="1:10" ht="12.75">
      <c r="A132" s="3"/>
      <c r="B132" s="18"/>
      <c r="C132" s="10"/>
      <c r="D132" s="20" t="s">
        <v>189</v>
      </c>
      <c r="E132" s="10"/>
      <c r="F132" s="22"/>
      <c r="G132" s="15"/>
      <c r="H132" s="22"/>
      <c r="I132" s="21"/>
      <c r="J132" s="3"/>
    </row>
    <row r="133" spans="1:10" ht="12.75">
      <c r="A133" s="3"/>
      <c r="B133" s="18" t="s">
        <v>190</v>
      </c>
      <c r="C133" s="8" t="s">
        <v>356</v>
      </c>
      <c r="D133" s="20" t="s">
        <v>191</v>
      </c>
      <c r="E133" s="8" t="s">
        <v>330</v>
      </c>
      <c r="F133" s="22">
        <v>14</v>
      </c>
      <c r="G133" s="15">
        <v>239.64</v>
      </c>
      <c r="H133" s="22">
        <f>F133*G133</f>
        <v>3354.96</v>
      </c>
      <c r="I133" s="21"/>
      <c r="J133" s="3"/>
    </row>
    <row r="134" spans="1:10" ht="12.75">
      <c r="A134" s="3"/>
      <c r="B134" s="18" t="s">
        <v>192</v>
      </c>
      <c r="C134" s="8" t="s">
        <v>357</v>
      </c>
      <c r="D134" s="20" t="s">
        <v>193</v>
      </c>
      <c r="E134" s="8" t="s">
        <v>330</v>
      </c>
      <c r="F134" s="22">
        <v>2</v>
      </c>
      <c r="G134" s="15">
        <v>241.65</v>
      </c>
      <c r="H134" s="22">
        <f>F134*G134</f>
        <v>483.3</v>
      </c>
      <c r="I134" s="21"/>
      <c r="J134" s="3"/>
    </row>
    <row r="135" spans="1:10" ht="12.75">
      <c r="A135" s="3"/>
      <c r="B135" s="18" t="s">
        <v>194</v>
      </c>
      <c r="C135" s="10"/>
      <c r="D135" s="20" t="s">
        <v>35</v>
      </c>
      <c r="E135" s="10" t="s">
        <v>19</v>
      </c>
      <c r="F135" s="22" t="s">
        <v>20</v>
      </c>
      <c r="G135" s="15" t="s">
        <v>21</v>
      </c>
      <c r="H135" s="22">
        <f>SUM(H133:H134)</f>
        <v>3838.26</v>
      </c>
      <c r="I135" s="21"/>
      <c r="J135" s="3"/>
    </row>
    <row r="136" spans="1:10" ht="12.75">
      <c r="A136" s="3"/>
      <c r="B136" s="18" t="s">
        <v>195</v>
      </c>
      <c r="C136" s="10"/>
      <c r="D136" s="20" t="s">
        <v>18</v>
      </c>
      <c r="E136" s="10" t="s">
        <v>43</v>
      </c>
      <c r="F136" s="22" t="s">
        <v>44</v>
      </c>
      <c r="G136" s="15" t="s">
        <v>44</v>
      </c>
      <c r="H136" s="16">
        <f>H126+H130+H135</f>
        <v>30702.216500000002</v>
      </c>
      <c r="I136" s="17">
        <f>H136*100/$H$165</f>
        <v>11.61183733560688</v>
      </c>
      <c r="J136" s="3"/>
    </row>
    <row r="137" spans="1:10" ht="12.75">
      <c r="A137" s="3"/>
      <c r="B137" s="18"/>
      <c r="C137" s="10"/>
      <c r="D137" s="20"/>
      <c r="E137" s="3"/>
      <c r="F137" s="20"/>
      <c r="G137" s="3"/>
      <c r="H137" s="20"/>
      <c r="I137" s="27"/>
      <c r="J137" s="3"/>
    </row>
    <row r="138" spans="1:10" ht="12.75">
      <c r="A138" s="3"/>
      <c r="B138" s="12" t="s">
        <v>196</v>
      </c>
      <c r="C138" s="56"/>
      <c r="D138" s="13" t="s">
        <v>197</v>
      </c>
      <c r="E138" s="10"/>
      <c r="F138" s="22"/>
      <c r="G138" s="15"/>
      <c r="H138" s="22"/>
      <c r="I138" s="21"/>
      <c r="J138" s="3"/>
    </row>
    <row r="139" spans="1:10" ht="12.75">
      <c r="A139" s="3"/>
      <c r="B139" s="18" t="s">
        <v>198</v>
      </c>
      <c r="C139" s="8" t="s">
        <v>358</v>
      </c>
      <c r="D139" s="20" t="s">
        <v>199</v>
      </c>
      <c r="E139" s="10" t="s">
        <v>10</v>
      </c>
      <c r="F139" s="22">
        <v>921.71</v>
      </c>
      <c r="G139" s="15">
        <v>8.7</v>
      </c>
      <c r="H139" s="22">
        <f>F139*G139</f>
        <v>8018.8769999999995</v>
      </c>
      <c r="I139" s="21"/>
      <c r="J139" s="3"/>
    </row>
    <row r="140" spans="1:10" ht="12.75">
      <c r="A140" s="3"/>
      <c r="B140" s="18" t="s">
        <v>200</v>
      </c>
      <c r="C140" s="10"/>
      <c r="D140" s="20" t="s">
        <v>35</v>
      </c>
      <c r="E140" s="10" t="s">
        <v>19</v>
      </c>
      <c r="F140" s="22" t="s">
        <v>20</v>
      </c>
      <c r="G140" s="15" t="s">
        <v>21</v>
      </c>
      <c r="H140" s="22">
        <f>H139</f>
        <v>8018.8769999999995</v>
      </c>
      <c r="I140" s="21"/>
      <c r="J140" s="3"/>
    </row>
    <row r="141" spans="1:10" ht="12.75">
      <c r="A141" s="3"/>
      <c r="B141" s="18" t="s">
        <v>201</v>
      </c>
      <c r="C141" s="10">
        <v>6082</v>
      </c>
      <c r="D141" s="20" t="s">
        <v>202</v>
      </c>
      <c r="E141" s="10" t="s">
        <v>10</v>
      </c>
      <c r="F141" s="22">
        <v>45</v>
      </c>
      <c r="G141" s="15">
        <v>11.03</v>
      </c>
      <c r="H141" s="22">
        <f>F141*G141</f>
        <v>496.34999999999997</v>
      </c>
      <c r="I141" s="21"/>
      <c r="J141" s="3"/>
    </row>
    <row r="142" spans="1:10" ht="12.75">
      <c r="A142" s="3"/>
      <c r="B142" s="18" t="s">
        <v>203</v>
      </c>
      <c r="C142" s="10"/>
      <c r="D142" s="20" t="s">
        <v>35</v>
      </c>
      <c r="E142" s="10" t="s">
        <v>19</v>
      </c>
      <c r="F142" s="22" t="s">
        <v>20</v>
      </c>
      <c r="G142" s="15" t="s">
        <v>21</v>
      </c>
      <c r="H142" s="22">
        <f>H141</f>
        <v>496.34999999999997</v>
      </c>
      <c r="I142" s="21"/>
      <c r="J142" s="3"/>
    </row>
    <row r="143" spans="1:10" ht="12.75">
      <c r="A143" s="3"/>
      <c r="B143" s="18" t="s">
        <v>204</v>
      </c>
      <c r="C143" s="8" t="s">
        <v>359</v>
      </c>
      <c r="D143" s="20" t="s">
        <v>205</v>
      </c>
      <c r="E143" s="10" t="s">
        <v>10</v>
      </c>
      <c r="F143" s="22">
        <v>411.7</v>
      </c>
      <c r="G143" s="15">
        <v>34.16</v>
      </c>
      <c r="H143" s="22">
        <f>F143*G143</f>
        <v>14063.671999999999</v>
      </c>
      <c r="I143" s="21"/>
      <c r="J143" s="3"/>
    </row>
    <row r="144" spans="1:10" ht="12.75">
      <c r="A144" s="3"/>
      <c r="B144" s="18" t="s">
        <v>206</v>
      </c>
      <c r="C144" s="10"/>
      <c r="D144" s="20" t="s">
        <v>35</v>
      </c>
      <c r="E144" s="10" t="s">
        <v>19</v>
      </c>
      <c r="F144" s="22" t="s">
        <v>20</v>
      </c>
      <c r="G144" s="15" t="s">
        <v>21</v>
      </c>
      <c r="H144" s="22">
        <f>H143</f>
        <v>14063.671999999999</v>
      </c>
      <c r="I144" s="21"/>
      <c r="J144" s="3"/>
    </row>
    <row r="145" spans="1:10" ht="12.75">
      <c r="A145" s="3"/>
      <c r="B145" s="47" t="s">
        <v>207</v>
      </c>
      <c r="C145" s="47"/>
      <c r="D145" s="20" t="s">
        <v>18</v>
      </c>
      <c r="E145" s="10" t="s">
        <v>43</v>
      </c>
      <c r="F145" s="22" t="s">
        <v>44</v>
      </c>
      <c r="G145" s="15" t="s">
        <v>44</v>
      </c>
      <c r="H145" s="16">
        <f>H140+H142+H144</f>
        <v>22578.898999999998</v>
      </c>
      <c r="I145" s="48">
        <f>H145*100/$H$165</f>
        <v>8.539530115198582</v>
      </c>
      <c r="J145" s="3"/>
    </row>
    <row r="146" spans="1:10" ht="12.75">
      <c r="A146" s="3"/>
      <c r="B146" s="47"/>
      <c r="C146" s="47"/>
      <c r="D146" s="20"/>
      <c r="E146" s="10"/>
      <c r="F146" s="22"/>
      <c r="G146" s="15"/>
      <c r="H146" s="16"/>
      <c r="I146" s="48"/>
      <c r="J146" s="3"/>
    </row>
    <row r="147" spans="1:10" ht="12.75">
      <c r="A147" s="3"/>
      <c r="B147" s="12" t="s">
        <v>208</v>
      </c>
      <c r="C147" s="56"/>
      <c r="D147" s="13" t="s">
        <v>209</v>
      </c>
      <c r="E147" s="10"/>
      <c r="F147" s="22"/>
      <c r="G147" s="15"/>
      <c r="H147" s="22"/>
      <c r="I147" s="21"/>
      <c r="J147" s="3"/>
    </row>
    <row r="148" spans="1:10" ht="12.75">
      <c r="A148" s="3"/>
      <c r="B148" s="18" t="s">
        <v>210</v>
      </c>
      <c r="C148" s="8" t="s">
        <v>360</v>
      </c>
      <c r="D148" s="20" t="s">
        <v>211</v>
      </c>
      <c r="E148" s="10" t="s">
        <v>10</v>
      </c>
      <c r="F148" s="22">
        <v>90.6</v>
      </c>
      <c r="G148" s="15">
        <v>23.01</v>
      </c>
      <c r="H148" s="22">
        <f>F148*G148</f>
        <v>2084.706</v>
      </c>
      <c r="I148" s="21"/>
      <c r="J148" s="3"/>
    </row>
    <row r="149" spans="1:10" ht="12.75">
      <c r="A149" s="3"/>
      <c r="B149" s="18" t="s">
        <v>212</v>
      </c>
      <c r="C149" s="10"/>
      <c r="D149" s="20" t="s">
        <v>18</v>
      </c>
      <c r="E149" s="10" t="s">
        <v>43</v>
      </c>
      <c r="F149" s="22" t="s">
        <v>44</v>
      </c>
      <c r="G149" s="15" t="s">
        <v>44</v>
      </c>
      <c r="H149" s="16">
        <f>H148</f>
        <v>2084.706</v>
      </c>
      <c r="I149" s="17">
        <f>H149*100/$H$165</f>
        <v>0.7884533992704948</v>
      </c>
      <c r="J149" s="3"/>
    </row>
    <row r="150" spans="1:10" ht="12.75">
      <c r="A150" s="3"/>
      <c r="B150" s="49"/>
      <c r="C150" s="3"/>
      <c r="D150" s="20"/>
      <c r="E150" s="3"/>
      <c r="F150" s="20"/>
      <c r="G150" s="3"/>
      <c r="H150" s="20"/>
      <c r="I150" s="27"/>
      <c r="J150" s="3"/>
    </row>
    <row r="151" spans="1:10" ht="12.75">
      <c r="A151" s="3"/>
      <c r="B151" s="49"/>
      <c r="C151" s="3"/>
      <c r="D151" s="20"/>
      <c r="E151" s="3"/>
      <c r="F151" s="20"/>
      <c r="G151" s="3"/>
      <c r="H151" s="20"/>
      <c r="I151" s="27"/>
      <c r="J151" s="3"/>
    </row>
    <row r="152" spans="1:10" ht="12.75">
      <c r="A152" s="3"/>
      <c r="B152" s="49"/>
      <c r="C152" s="3"/>
      <c r="D152" s="20"/>
      <c r="E152" s="3"/>
      <c r="F152" s="20"/>
      <c r="G152" s="3"/>
      <c r="H152" s="20"/>
      <c r="I152" s="27"/>
      <c r="J152" s="3"/>
    </row>
    <row r="153" spans="1:10" ht="12.75">
      <c r="A153" s="3"/>
      <c r="B153" s="50"/>
      <c r="C153" s="51"/>
      <c r="D153" s="42"/>
      <c r="E153" s="51"/>
      <c r="F153" s="42"/>
      <c r="G153" s="51"/>
      <c r="H153" s="42"/>
      <c r="I153" s="52"/>
      <c r="J153" s="3"/>
    </row>
    <row r="154" spans="1:10" ht="12.75">
      <c r="A154" s="3"/>
      <c r="B154" s="4" t="s">
        <v>1</v>
      </c>
      <c r="C154" s="4"/>
      <c r="D154" s="5" t="s">
        <v>2</v>
      </c>
      <c r="E154" s="4" t="s">
        <v>3</v>
      </c>
      <c r="F154" s="4" t="s">
        <v>4</v>
      </c>
      <c r="G154" s="5" t="s">
        <v>5</v>
      </c>
      <c r="H154" s="5" t="s">
        <v>6</v>
      </c>
      <c r="I154" s="5" t="s">
        <v>7</v>
      </c>
      <c r="J154" s="3"/>
    </row>
    <row r="155" spans="1:10" ht="12.75">
      <c r="A155" s="3"/>
      <c r="B155" s="49"/>
      <c r="C155" s="3"/>
      <c r="D155" s="20"/>
      <c r="E155" s="3"/>
      <c r="F155" s="20"/>
      <c r="G155" s="3"/>
      <c r="H155" s="20"/>
      <c r="I155" s="27"/>
      <c r="J155" s="3"/>
    </row>
    <row r="156" spans="1:10" ht="12.75">
      <c r="A156" s="3"/>
      <c r="B156" s="12" t="s">
        <v>213</v>
      </c>
      <c r="C156" s="56"/>
      <c r="D156" s="53" t="s">
        <v>214</v>
      </c>
      <c r="E156" s="10"/>
      <c r="F156" s="22"/>
      <c r="G156" s="15"/>
      <c r="H156" s="16"/>
      <c r="I156" s="17"/>
      <c r="J156" s="3"/>
    </row>
    <row r="157" spans="1:10" ht="12.75">
      <c r="A157" s="3"/>
      <c r="B157" s="18" t="s">
        <v>215</v>
      </c>
      <c r="C157" s="10"/>
      <c r="D157" s="54" t="s">
        <v>216</v>
      </c>
      <c r="E157" s="8" t="s">
        <v>331</v>
      </c>
      <c r="F157" s="14">
        <v>263.25</v>
      </c>
      <c r="G157" s="15">
        <v>4</v>
      </c>
      <c r="H157" s="22">
        <f>F157*G157</f>
        <v>1053</v>
      </c>
      <c r="I157" s="17"/>
      <c r="J157" s="3"/>
    </row>
    <row r="158" spans="1:10" ht="25.5">
      <c r="A158" s="3"/>
      <c r="B158" s="47" t="s">
        <v>217</v>
      </c>
      <c r="C158" s="47"/>
      <c r="D158" s="41" t="s">
        <v>218</v>
      </c>
      <c r="E158" s="7" t="s">
        <v>3</v>
      </c>
      <c r="F158" s="22">
        <v>4</v>
      </c>
      <c r="G158" s="22">
        <f>36*1.2</f>
        <v>43.199999999999996</v>
      </c>
      <c r="H158" s="22">
        <f>F158*G158</f>
        <v>172.79999999999998</v>
      </c>
      <c r="I158" s="48"/>
      <c r="J158" s="3"/>
    </row>
    <row r="159" spans="1:10" ht="25.5">
      <c r="A159" s="3"/>
      <c r="B159" s="47" t="s">
        <v>219</v>
      </c>
      <c r="C159" s="47"/>
      <c r="D159" s="41" t="s">
        <v>220</v>
      </c>
      <c r="E159" s="7" t="s">
        <v>3</v>
      </c>
      <c r="F159" s="22">
        <v>2</v>
      </c>
      <c r="G159" s="22">
        <f>65*1.2</f>
        <v>78</v>
      </c>
      <c r="H159" s="22">
        <f>F159*G159</f>
        <v>156</v>
      </c>
      <c r="I159" s="48"/>
      <c r="J159" s="3"/>
    </row>
    <row r="160" spans="1:10" ht="25.5">
      <c r="A160" s="3"/>
      <c r="B160" s="47" t="s">
        <v>221</v>
      </c>
      <c r="C160" s="196" t="s">
        <v>361</v>
      </c>
      <c r="D160" s="41" t="s">
        <v>222</v>
      </c>
      <c r="E160" s="7" t="s">
        <v>3</v>
      </c>
      <c r="F160" s="22">
        <v>4</v>
      </c>
      <c r="G160" s="22">
        <v>110.01</v>
      </c>
      <c r="H160" s="22">
        <f>F160*G160</f>
        <v>440.04</v>
      </c>
      <c r="I160" s="48"/>
      <c r="J160" s="3"/>
    </row>
    <row r="161" spans="1:10" ht="12.75">
      <c r="A161" s="3"/>
      <c r="B161" s="47" t="s">
        <v>223</v>
      </c>
      <c r="C161" s="47"/>
      <c r="D161" s="20" t="s">
        <v>18</v>
      </c>
      <c r="E161" s="10" t="s">
        <v>43</v>
      </c>
      <c r="F161" s="22" t="s">
        <v>44</v>
      </c>
      <c r="G161" s="15" t="s">
        <v>44</v>
      </c>
      <c r="H161" s="55">
        <f>SUM(H157:H160)</f>
        <v>1821.84</v>
      </c>
      <c r="I161" s="48">
        <f>H161*100/$H$165</f>
        <v>0.68903526009277</v>
      </c>
      <c r="J161" s="3"/>
    </row>
    <row r="162" spans="1:10" ht="12.75">
      <c r="A162" s="3"/>
      <c r="B162" s="49"/>
      <c r="C162" s="3"/>
      <c r="D162" s="20"/>
      <c r="E162" s="3"/>
      <c r="F162" s="20"/>
      <c r="G162" s="3"/>
      <c r="H162" s="20"/>
      <c r="I162" s="27"/>
      <c r="J162" s="3"/>
    </row>
    <row r="163" spans="1:10" ht="12.75">
      <c r="A163" s="3"/>
      <c r="B163" s="12" t="s">
        <v>224</v>
      </c>
      <c r="C163" s="8">
        <v>9537</v>
      </c>
      <c r="D163" s="24" t="s">
        <v>364</v>
      </c>
      <c r="E163" s="8" t="s">
        <v>331</v>
      </c>
      <c r="F163" s="25">
        <v>263.25</v>
      </c>
      <c r="G163" s="197">
        <v>1.13</v>
      </c>
      <c r="H163" s="16">
        <f>SUM(F163*G163)</f>
        <v>297.47249999999997</v>
      </c>
      <c r="I163" s="17">
        <f>H163*100/$H$165</f>
        <v>0.11250660947610466</v>
      </c>
      <c r="J163" s="3"/>
    </row>
    <row r="164" spans="1:10" ht="12.75">
      <c r="A164" s="3"/>
      <c r="B164" s="18"/>
      <c r="C164" s="10"/>
      <c r="D164" s="20"/>
      <c r="E164" s="10"/>
      <c r="F164" s="22"/>
      <c r="G164" s="15"/>
      <c r="H164" s="22"/>
      <c r="I164" s="21"/>
      <c r="J164" s="3"/>
    </row>
    <row r="165" spans="1:10" ht="12.75">
      <c r="A165" s="3"/>
      <c r="B165" s="12" t="s">
        <v>225</v>
      </c>
      <c r="C165" s="56"/>
      <c r="D165" s="13" t="s">
        <v>226</v>
      </c>
      <c r="E165" s="56" t="s">
        <v>19</v>
      </c>
      <c r="F165" s="16" t="s">
        <v>21</v>
      </c>
      <c r="G165" s="57" t="s">
        <v>227</v>
      </c>
      <c r="H165" s="16">
        <f>H13+H15+H17+H20+H25+H40+H44+H47+H59+H75+H87+H103+H116+H120+H136+H145+H149+H161+H163</f>
        <v>264404.466</v>
      </c>
      <c r="I165" s="58">
        <f>(I13+I15+I17+I20+I25+I40+I44+I47+I59+I75+I87+I103+I116+I120+I136+I145+I149+I161+I163)</f>
        <v>100</v>
      </c>
      <c r="J165" s="3"/>
    </row>
    <row r="166" spans="1:10" ht="12.75">
      <c r="A166" s="3"/>
      <c r="B166" s="49"/>
      <c r="C166" s="3"/>
      <c r="D166" s="20"/>
      <c r="E166" s="3"/>
      <c r="F166" s="20"/>
      <c r="G166" s="3"/>
      <c r="H166" s="20"/>
      <c r="I166" s="27"/>
      <c r="J166" s="3"/>
    </row>
    <row r="167" spans="1:10" ht="12.75">
      <c r="A167" s="3"/>
      <c r="B167" s="49"/>
      <c r="C167" s="3"/>
      <c r="D167" s="53" t="s">
        <v>362</v>
      </c>
      <c r="E167" s="3"/>
      <c r="F167" s="20"/>
      <c r="G167" s="3"/>
      <c r="H167" s="20"/>
      <c r="I167" s="27"/>
      <c r="J167" s="3"/>
    </row>
    <row r="168" spans="1:10" ht="12.75">
      <c r="A168" s="3"/>
      <c r="B168" s="49"/>
      <c r="C168" s="3"/>
      <c r="D168" s="24" t="s">
        <v>366</v>
      </c>
      <c r="E168" s="3"/>
      <c r="F168" s="20"/>
      <c r="G168" s="3"/>
      <c r="H168" s="20"/>
      <c r="I168" s="27"/>
      <c r="J168" s="3"/>
    </row>
    <row r="169" spans="1:10" ht="12.75">
      <c r="A169" s="3"/>
      <c r="B169" s="49"/>
      <c r="C169" s="3"/>
      <c r="D169" s="20"/>
      <c r="E169" s="3"/>
      <c r="F169" s="20"/>
      <c r="G169" s="3"/>
      <c r="H169" s="20"/>
      <c r="I169" s="21"/>
      <c r="J169" s="3"/>
    </row>
    <row r="170" spans="1:10" ht="12.75">
      <c r="A170" s="3"/>
      <c r="B170" s="49"/>
      <c r="C170" s="3"/>
      <c r="D170" s="20"/>
      <c r="E170" s="3"/>
      <c r="F170" s="20"/>
      <c r="G170" s="3"/>
      <c r="H170" s="20"/>
      <c r="I170" s="21"/>
      <c r="J170" s="3"/>
    </row>
    <row r="171" spans="1:10" ht="12.75">
      <c r="A171" s="3"/>
      <c r="B171" s="18"/>
      <c r="C171" s="10"/>
      <c r="D171" s="24" t="s">
        <v>363</v>
      </c>
      <c r="E171" s="3"/>
      <c r="F171" s="20"/>
      <c r="G171" s="3"/>
      <c r="H171" s="20"/>
      <c r="I171" s="21"/>
      <c r="J171" s="3"/>
    </row>
    <row r="172" spans="1:10" ht="15.75">
      <c r="A172" s="3"/>
      <c r="B172" s="18"/>
      <c r="C172" s="10"/>
      <c r="D172" s="9"/>
      <c r="E172" s="3"/>
      <c r="F172" s="207" t="s">
        <v>367</v>
      </c>
      <c r="G172" s="208"/>
      <c r="H172" s="208"/>
      <c r="I172" s="21"/>
      <c r="J172" s="3"/>
    </row>
    <row r="173" spans="1:10" ht="12.75">
      <c r="A173" s="3"/>
      <c r="B173" s="18"/>
      <c r="C173" s="10"/>
      <c r="D173" s="9"/>
      <c r="E173" s="3"/>
      <c r="F173" s="198" t="s">
        <v>368</v>
      </c>
      <c r="G173" s="199"/>
      <c r="H173" s="199"/>
      <c r="I173" s="21"/>
      <c r="J173" s="3"/>
    </row>
    <row r="174" spans="1:10" ht="12.75">
      <c r="A174" s="3"/>
      <c r="B174" s="49"/>
      <c r="C174" s="3"/>
      <c r="D174" s="9"/>
      <c r="E174" s="3"/>
      <c r="F174" s="198" t="s">
        <v>369</v>
      </c>
      <c r="G174" s="199"/>
      <c r="H174" s="199"/>
      <c r="I174" s="27"/>
      <c r="J174" s="3"/>
    </row>
    <row r="175" spans="1:10" ht="12.75">
      <c r="A175" s="3"/>
      <c r="B175" s="49"/>
      <c r="C175" s="3"/>
      <c r="D175" s="9"/>
      <c r="E175" s="3"/>
      <c r="F175" s="7"/>
      <c r="G175" s="9"/>
      <c r="H175" s="20"/>
      <c r="I175" s="27"/>
      <c r="J175" s="3"/>
    </row>
    <row r="176" spans="1:10" ht="12.75">
      <c r="A176" s="3"/>
      <c r="B176" s="49"/>
      <c r="C176" s="3"/>
      <c r="D176" s="9"/>
      <c r="E176" s="3"/>
      <c r="F176" s="7"/>
      <c r="G176" s="9"/>
      <c r="H176" s="20"/>
      <c r="I176" s="27"/>
      <c r="J176" s="3"/>
    </row>
    <row r="177" spans="1:10" ht="12.75">
      <c r="A177" s="3"/>
      <c r="B177" s="49"/>
      <c r="C177" s="3"/>
      <c r="D177" s="9"/>
      <c r="E177" s="3"/>
      <c r="F177" s="7"/>
      <c r="G177" s="9"/>
      <c r="H177" s="20"/>
      <c r="I177" s="27"/>
      <c r="J177" s="3"/>
    </row>
    <row r="178" spans="1:10" ht="12.75">
      <c r="A178" s="3"/>
      <c r="B178" s="49"/>
      <c r="C178" s="3"/>
      <c r="D178" s="9"/>
      <c r="E178" s="3"/>
      <c r="F178" s="7"/>
      <c r="G178" s="9"/>
      <c r="H178" s="20"/>
      <c r="I178" s="27"/>
      <c r="J178" s="3"/>
    </row>
    <row r="179" spans="1:10" ht="12.75">
      <c r="A179" s="3"/>
      <c r="B179" s="49"/>
      <c r="C179" s="3"/>
      <c r="D179" s="9"/>
      <c r="E179" s="3"/>
      <c r="F179" s="7"/>
      <c r="G179" s="9"/>
      <c r="H179" s="20"/>
      <c r="I179" s="27"/>
      <c r="J179" s="3"/>
    </row>
    <row r="180" spans="1:10" ht="12.75">
      <c r="A180" s="3"/>
      <c r="B180" s="59"/>
      <c r="C180" s="192"/>
      <c r="D180" s="60"/>
      <c r="E180" s="61"/>
      <c r="F180" s="60"/>
      <c r="G180" s="61"/>
      <c r="H180" s="60"/>
      <c r="I180" s="62"/>
      <c r="J180" s="3"/>
    </row>
    <row r="181" spans="1:10" ht="12.75">
      <c r="A181" s="3"/>
      <c r="B181" s="8"/>
      <c r="C181" s="8"/>
      <c r="D181" s="10"/>
      <c r="E181" s="8"/>
      <c r="F181" s="8"/>
      <c r="G181" s="10"/>
      <c r="H181" s="10"/>
      <c r="I181" s="10"/>
      <c r="J181" s="3"/>
    </row>
    <row r="182" spans="1:10" ht="12.75">
      <c r="A182" s="3"/>
      <c r="B182" s="10"/>
      <c r="C182" s="10"/>
      <c r="D182" s="3"/>
      <c r="E182" s="10"/>
      <c r="F182" s="15"/>
      <c r="G182" s="15"/>
      <c r="H182" s="15"/>
      <c r="I182" s="15"/>
      <c r="J182" s="3"/>
    </row>
    <row r="183" spans="1:10" ht="12.75">
      <c r="A183" s="3"/>
      <c r="B183" s="10"/>
      <c r="C183" s="10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10"/>
      <c r="C184" s="10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10"/>
      <c r="C185" s="10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10"/>
      <c r="C186" s="10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10"/>
      <c r="C187" s="10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10"/>
      <c r="C188" s="10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10"/>
      <c r="C189" s="10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10"/>
      <c r="C190" s="10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10"/>
      <c r="C191" s="10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10"/>
      <c r="C192" s="10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56"/>
      <c r="C193" s="56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10"/>
      <c r="C194" s="10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10"/>
      <c r="C195" s="10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10"/>
      <c r="C196" s="10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10"/>
      <c r="C197" s="10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10"/>
      <c r="C198" s="10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10"/>
      <c r="C199" s="10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10"/>
      <c r="C200" s="10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10"/>
      <c r="C201" s="10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10"/>
      <c r="C202" s="10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10"/>
      <c r="C203" s="10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10"/>
      <c r="C204" s="10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10"/>
      <c r="C205" s="10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10"/>
      <c r="C206" s="10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10"/>
      <c r="C207" s="10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10"/>
      <c r="C208" s="10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10"/>
      <c r="C209" s="10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10"/>
      <c r="C210" s="10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10"/>
      <c r="C211" s="10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10"/>
      <c r="C212" s="10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10"/>
      <c r="C213" s="10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10"/>
      <c r="C214" s="10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10"/>
      <c r="C215" s="10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10"/>
      <c r="C216" s="10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10"/>
      <c r="C217" s="10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10"/>
      <c r="C218" s="10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10"/>
      <c r="C219" s="10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56"/>
      <c r="C220" s="56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10"/>
      <c r="C221" s="10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10"/>
      <c r="C222" s="10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10"/>
      <c r="C223" s="10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10"/>
      <c r="C224" s="10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10"/>
      <c r="C225" s="10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10"/>
      <c r="C226" s="10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10"/>
      <c r="C227" s="10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10"/>
      <c r="C228" s="10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10"/>
      <c r="C229" s="10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10"/>
      <c r="C230" s="10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10"/>
      <c r="C231" s="10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10"/>
      <c r="C232" s="10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10"/>
      <c r="C233" s="10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10"/>
      <c r="C234" s="10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10"/>
      <c r="C235" s="10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10"/>
      <c r="C236" s="10"/>
      <c r="D236" s="3"/>
      <c r="E236" s="10"/>
      <c r="F236" s="15"/>
      <c r="G236" s="15"/>
      <c r="H236" s="15"/>
      <c r="I236" s="15"/>
      <c r="J236" s="3"/>
    </row>
    <row r="237" spans="1:10" ht="12.75">
      <c r="A237" s="3"/>
      <c r="B237" s="10"/>
      <c r="C237" s="10"/>
      <c r="D237" s="3"/>
      <c r="E237" s="10"/>
      <c r="F237" s="15"/>
      <c r="G237" s="15"/>
      <c r="H237" s="15"/>
      <c r="I237" s="15"/>
      <c r="J237" s="3"/>
    </row>
    <row r="238" spans="1:10" ht="12.75">
      <c r="A238" s="3"/>
      <c r="B238" s="10"/>
      <c r="C238" s="10"/>
      <c r="D238" s="3"/>
      <c r="E238" s="10"/>
      <c r="F238" s="15"/>
      <c r="G238" s="15"/>
      <c r="H238" s="15"/>
      <c r="I238" s="15"/>
      <c r="J238" s="3"/>
    </row>
    <row r="239" spans="1:10" ht="12.75">
      <c r="A239" s="3"/>
      <c r="B239" s="10"/>
      <c r="C239" s="10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10"/>
      <c r="C240" s="10"/>
      <c r="D240" s="3"/>
      <c r="E240" s="10"/>
      <c r="F240" s="15"/>
      <c r="G240" s="15"/>
      <c r="H240" s="57"/>
      <c r="I240" s="57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8"/>
      <c r="C244" s="8"/>
      <c r="D244" s="10"/>
      <c r="E244" s="8"/>
      <c r="F244" s="8"/>
      <c r="G244" s="10"/>
      <c r="H244" s="10"/>
      <c r="I244" s="10"/>
      <c r="J244" s="3"/>
    </row>
    <row r="245" spans="1:10" ht="12.75">
      <c r="A245" s="3"/>
      <c r="B245" s="10"/>
      <c r="C245" s="10"/>
      <c r="D245" s="3"/>
      <c r="E245" s="10"/>
      <c r="F245" s="15"/>
      <c r="G245" s="15"/>
      <c r="H245" s="15"/>
      <c r="I245" s="15"/>
      <c r="J245" s="3"/>
    </row>
    <row r="246" spans="1:10" ht="12.75">
      <c r="A246" s="3"/>
      <c r="B246" s="56"/>
      <c r="C246" s="56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10"/>
      <c r="C247" s="10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10"/>
      <c r="C248" s="10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10"/>
      <c r="C249" s="10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10"/>
      <c r="C250" s="10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10"/>
      <c r="C251" s="10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10"/>
      <c r="C252" s="10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10"/>
      <c r="C253" s="10"/>
      <c r="D253" s="3"/>
      <c r="E253" s="10"/>
      <c r="F253" s="15"/>
      <c r="G253" s="15"/>
      <c r="H253" s="15"/>
      <c r="I253" s="15"/>
      <c r="J253" s="3"/>
    </row>
    <row r="254" spans="1:10" ht="12.75">
      <c r="A254" s="3"/>
      <c r="B254" s="10"/>
      <c r="C254" s="10"/>
      <c r="D254" s="3"/>
      <c r="E254" s="10"/>
      <c r="F254" s="15"/>
      <c r="G254" s="15"/>
      <c r="H254" s="15"/>
      <c r="I254" s="15"/>
      <c r="J254" s="3"/>
    </row>
    <row r="255" spans="1:10" ht="12.75">
      <c r="A255" s="3"/>
      <c r="B255" s="10"/>
      <c r="C255" s="10"/>
      <c r="D255" s="3"/>
      <c r="E255" s="10"/>
      <c r="F255" s="15"/>
      <c r="G255" s="15"/>
      <c r="H255" s="15"/>
      <c r="I255" s="15"/>
      <c r="J255" s="3"/>
    </row>
    <row r="256" spans="1:10" ht="12.75">
      <c r="A256" s="3"/>
      <c r="B256" s="10"/>
      <c r="C256" s="10"/>
      <c r="D256" s="3"/>
      <c r="E256" s="10"/>
      <c r="F256" s="15"/>
      <c r="G256" s="15"/>
      <c r="H256" s="15"/>
      <c r="I256" s="15"/>
      <c r="J256" s="3"/>
    </row>
    <row r="257" spans="1:10" ht="12.75">
      <c r="A257" s="3"/>
      <c r="B257" s="10"/>
      <c r="C257" s="10"/>
      <c r="D257" s="3"/>
      <c r="E257" s="10"/>
      <c r="F257" s="15"/>
      <c r="G257" s="15"/>
      <c r="H257" s="15"/>
      <c r="I257" s="15"/>
      <c r="J257" s="3"/>
    </row>
    <row r="258" spans="1:10" ht="12.75">
      <c r="A258" s="3"/>
      <c r="B258" s="10"/>
      <c r="C258" s="10"/>
      <c r="D258" s="3"/>
      <c r="E258" s="10"/>
      <c r="F258" s="15"/>
      <c r="G258" s="15"/>
      <c r="H258" s="15"/>
      <c r="I258" s="15"/>
      <c r="J258" s="3"/>
    </row>
    <row r="259" spans="1:10" ht="12.75">
      <c r="A259" s="3"/>
      <c r="B259" s="10"/>
      <c r="C259" s="10"/>
      <c r="D259" s="3"/>
      <c r="E259" s="10"/>
      <c r="F259" s="15"/>
      <c r="G259" s="15"/>
      <c r="H259" s="15"/>
      <c r="I259" s="15"/>
      <c r="J259" s="3"/>
    </row>
    <row r="260" spans="1:10" ht="12.75">
      <c r="A260" s="3"/>
      <c r="B260" s="10"/>
      <c r="C260" s="10"/>
      <c r="D260" s="3"/>
      <c r="E260" s="10"/>
      <c r="F260" s="15"/>
      <c r="G260" s="15"/>
      <c r="H260" s="15"/>
      <c r="I260" s="15"/>
      <c r="J260" s="3"/>
    </row>
    <row r="261" spans="1:10" ht="12.75">
      <c r="A261" s="3"/>
      <c r="B261" s="10"/>
      <c r="C261" s="10"/>
      <c r="D261" s="3"/>
      <c r="E261" s="10"/>
      <c r="F261" s="15"/>
      <c r="G261" s="15"/>
      <c r="H261" s="15"/>
      <c r="I261" s="15"/>
      <c r="J261" s="3"/>
    </row>
    <row r="262" spans="1:10" ht="12.75">
      <c r="A262" s="3"/>
      <c r="B262" s="10"/>
      <c r="C262" s="10"/>
      <c r="D262" s="3"/>
      <c r="E262" s="10"/>
      <c r="F262" s="15"/>
      <c r="G262" s="15"/>
      <c r="H262" s="15"/>
      <c r="I262" s="15"/>
      <c r="J262" s="3"/>
    </row>
    <row r="263" spans="1:10" ht="12.75">
      <c r="A263" s="3"/>
      <c r="B263" s="10"/>
      <c r="C263" s="10"/>
      <c r="D263" s="3"/>
      <c r="E263" s="10"/>
      <c r="F263" s="15"/>
      <c r="G263" s="15"/>
      <c r="H263" s="15"/>
      <c r="I263" s="15"/>
      <c r="J263" s="3"/>
    </row>
    <row r="264" spans="1:10" ht="12.75">
      <c r="A264" s="3"/>
      <c r="B264" s="10"/>
      <c r="C264" s="10"/>
      <c r="D264" s="3"/>
      <c r="E264" s="10"/>
      <c r="F264" s="15"/>
      <c r="G264" s="15"/>
      <c r="H264" s="15"/>
      <c r="I264" s="15"/>
      <c r="J264" s="3"/>
    </row>
    <row r="265" spans="1:10" ht="12.75">
      <c r="A265" s="3"/>
      <c r="B265" s="10"/>
      <c r="C265" s="10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10"/>
      <c r="C266" s="10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10"/>
      <c r="C267" s="10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10"/>
      <c r="C268" s="10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10"/>
      <c r="C269" s="10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10"/>
      <c r="C270" s="10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10"/>
      <c r="C271" s="10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10"/>
      <c r="C272" s="10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10"/>
      <c r="C273" s="10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10"/>
      <c r="C274" s="10"/>
      <c r="D274" s="3"/>
      <c r="E274" s="10"/>
      <c r="F274" s="15"/>
      <c r="G274" s="15"/>
      <c r="H274" s="15"/>
      <c r="I274" s="15"/>
      <c r="J274" s="3"/>
    </row>
    <row r="275" spans="1:10" ht="12.75">
      <c r="A275" s="3"/>
      <c r="B275" s="56"/>
      <c r="C275" s="56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10"/>
      <c r="C276" s="10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10"/>
      <c r="C277" s="10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10"/>
      <c r="C278" s="10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10"/>
      <c r="C279" s="10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10"/>
      <c r="C280" s="10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10"/>
      <c r="C281" s="10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10"/>
      <c r="C282" s="10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10"/>
      <c r="C283" s="10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10"/>
      <c r="C284" s="10"/>
      <c r="D284" s="3"/>
      <c r="E284" s="10"/>
      <c r="F284" s="15"/>
      <c r="G284" s="15"/>
      <c r="H284" s="15"/>
      <c r="I284" s="15"/>
      <c r="J284" s="3"/>
    </row>
    <row r="285" spans="1:10" ht="12.75">
      <c r="A285" s="3"/>
      <c r="B285" s="10"/>
      <c r="C285" s="10"/>
      <c r="D285" s="3"/>
      <c r="E285" s="10"/>
      <c r="F285" s="15"/>
      <c r="G285" s="15"/>
      <c r="H285" s="15"/>
      <c r="I285" s="15"/>
      <c r="J285" s="3"/>
    </row>
    <row r="286" spans="1:10" ht="12.75">
      <c r="A286" s="3"/>
      <c r="B286" s="10"/>
      <c r="C286" s="10"/>
      <c r="D286" s="3"/>
      <c r="E286" s="10"/>
      <c r="F286" s="15"/>
      <c r="G286" s="15"/>
      <c r="H286" s="15"/>
      <c r="I286" s="15"/>
      <c r="J286" s="3"/>
    </row>
    <row r="287" spans="1:10" ht="12.75">
      <c r="A287" s="3"/>
      <c r="B287" s="10"/>
      <c r="C287" s="10"/>
      <c r="D287" s="3"/>
      <c r="E287" s="10"/>
      <c r="F287" s="15"/>
      <c r="G287" s="15"/>
      <c r="H287" s="15"/>
      <c r="I287" s="15"/>
      <c r="J287" s="3"/>
    </row>
    <row r="288" spans="1:10" ht="12.75">
      <c r="A288" s="3"/>
      <c r="B288" s="10"/>
      <c r="C288" s="10"/>
      <c r="D288" s="3"/>
      <c r="E288" s="10"/>
      <c r="F288" s="15"/>
      <c r="G288" s="15"/>
      <c r="H288" s="15"/>
      <c r="I288" s="15"/>
      <c r="J288" s="3"/>
    </row>
    <row r="289" spans="1:10" ht="12.75">
      <c r="A289" s="3"/>
      <c r="B289" s="10"/>
      <c r="C289" s="10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10"/>
      <c r="C290" s="10"/>
      <c r="D290" s="3"/>
      <c r="E290" s="10"/>
      <c r="F290" s="15"/>
      <c r="G290" s="3"/>
      <c r="H290" s="15"/>
      <c r="I290" s="15"/>
      <c r="J290" s="3"/>
    </row>
    <row r="291" spans="1:10" ht="12.75">
      <c r="A291" s="3"/>
      <c r="B291" s="56"/>
      <c r="C291" s="56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56"/>
      <c r="C293" s="56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10"/>
      <c r="C294" s="10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56"/>
      <c r="C295" s="56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10"/>
      <c r="C296" s="10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10"/>
      <c r="C297" s="10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10"/>
      <c r="C298" s="10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10"/>
      <c r="C299" s="10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10"/>
      <c r="C300" s="10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10"/>
      <c r="C301" s="10"/>
      <c r="D301" s="3"/>
      <c r="E301" s="10"/>
      <c r="F301" s="15"/>
      <c r="G301" s="15"/>
      <c r="H301" s="15"/>
      <c r="I301" s="15"/>
      <c r="J301" s="3"/>
    </row>
    <row r="302" spans="1:10" ht="12.75">
      <c r="A302" s="3"/>
      <c r="B302" s="10"/>
      <c r="C302" s="10"/>
      <c r="D302" s="3"/>
      <c r="E302" s="10"/>
      <c r="F302" s="15"/>
      <c r="G302" s="15"/>
      <c r="H302" s="15"/>
      <c r="I302" s="15"/>
      <c r="J302" s="3"/>
    </row>
    <row r="303" spans="1:10" ht="12.75">
      <c r="A303" s="3"/>
      <c r="B303" s="10"/>
      <c r="C303" s="10"/>
      <c r="D303" s="3"/>
      <c r="E303" s="10"/>
      <c r="F303" s="15"/>
      <c r="G303" s="15"/>
      <c r="H303" s="15"/>
      <c r="I303" s="15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</sheetData>
  <sheetProtection/>
  <mergeCells count="5">
    <mergeCell ref="F174:H174"/>
    <mergeCell ref="B3:I3"/>
    <mergeCell ref="B4:I4"/>
    <mergeCell ref="F172:H172"/>
    <mergeCell ref="F173:H173"/>
  </mergeCells>
  <printOptions/>
  <pageMargins left="0.7875" right="0.5902777777777778" top="0.8861111111111111" bottom="0.49236111111111114" header="0.7875" footer="0.393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1"/>
  <sheetViews>
    <sheetView zoomScalePageLayoutView="0" workbookViewId="0" topLeftCell="F1">
      <selection activeCell="C25" sqref="C25"/>
    </sheetView>
  </sheetViews>
  <sheetFormatPr defaultColWidth="9.140625" defaultRowHeight="12.75"/>
  <cols>
    <col min="1" max="1" width="1.7109375" style="0" customWidth="1"/>
    <col min="2" max="2" width="4.8515625" style="0" customWidth="1"/>
    <col min="3" max="3" width="20.7109375" style="0" customWidth="1"/>
    <col min="4" max="4" width="10.7109375" style="0" customWidth="1"/>
    <col min="5" max="5" width="6.28125" style="0" customWidth="1"/>
    <col min="6" max="6" width="10.28125" style="0" customWidth="1"/>
    <col min="7" max="7" width="6.7109375" style="0" customWidth="1"/>
    <col min="8" max="8" width="10.28125" style="0" customWidth="1"/>
    <col min="9" max="9" width="6.421875" style="0" customWidth="1"/>
    <col min="10" max="10" width="10.28125" style="0" customWidth="1"/>
    <col min="11" max="11" width="6.28125" style="0" customWidth="1"/>
    <col min="12" max="12" width="10.28125" style="0" customWidth="1"/>
    <col min="13" max="13" width="6.7109375" style="0" customWidth="1"/>
    <col min="14" max="14" width="10.28125" style="0" customWidth="1"/>
    <col min="15" max="15" width="6.7109375" style="0" customWidth="1"/>
    <col min="16" max="16" width="10.421875" style="0" customWidth="1"/>
    <col min="17" max="17" width="6.7109375" style="0" customWidth="1"/>
  </cols>
  <sheetData>
    <row r="1" spans="1:17" ht="15.75">
      <c r="A1" s="3"/>
      <c r="B1" s="63"/>
      <c r="C1" s="64"/>
      <c r="D1" s="64"/>
      <c r="E1" s="64"/>
      <c r="F1" s="65" t="s">
        <v>231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6"/>
    </row>
    <row r="2" spans="1:17" ht="12.75">
      <c r="A2" s="3"/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7"/>
    </row>
    <row r="3" spans="1:17" ht="12.75" customHeight="1">
      <c r="A3" s="3"/>
      <c r="B3" s="67"/>
      <c r="C3" s="68"/>
      <c r="D3" s="61" t="str">
        <f>Orçamento!B6</f>
        <v>Município: SAUDADES / SC</v>
      </c>
      <c r="E3" s="61"/>
      <c r="F3" s="61"/>
      <c r="G3" s="68"/>
      <c r="H3" s="61"/>
      <c r="I3" s="61" t="str">
        <f>Orçamento!E6</f>
        <v>Projeto: Unidade Sanitária</v>
      </c>
      <c r="J3" s="61"/>
      <c r="K3" s="61"/>
      <c r="L3" s="61"/>
      <c r="M3" s="61"/>
      <c r="N3" s="61" t="str">
        <f>Orçamento!E8</f>
        <v>Área: 263,25 m²</v>
      </c>
      <c r="O3" s="61"/>
      <c r="P3" s="61"/>
      <c r="Q3" s="69"/>
    </row>
    <row r="4" spans="1:17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3"/>
      <c r="B5" s="70" t="s">
        <v>232</v>
      </c>
      <c r="C5" s="71" t="s">
        <v>233</v>
      </c>
      <c r="D5" s="72">
        <v>1</v>
      </c>
      <c r="E5" s="72" t="s">
        <v>7</v>
      </c>
      <c r="F5" s="72">
        <v>2</v>
      </c>
      <c r="G5" s="72" t="s">
        <v>7</v>
      </c>
      <c r="H5" s="72">
        <v>3</v>
      </c>
      <c r="I5" s="72" t="s">
        <v>7</v>
      </c>
      <c r="J5" s="72">
        <v>4</v>
      </c>
      <c r="K5" s="72" t="s">
        <v>7</v>
      </c>
      <c r="L5" s="72">
        <v>5</v>
      </c>
      <c r="M5" s="72" t="s">
        <v>7</v>
      </c>
      <c r="N5" s="72">
        <v>6</v>
      </c>
      <c r="O5" s="72" t="s">
        <v>7</v>
      </c>
      <c r="P5" s="73" t="s">
        <v>234</v>
      </c>
      <c r="Q5" s="74" t="s">
        <v>235</v>
      </c>
    </row>
    <row r="6" spans="1:17" ht="12.75">
      <c r="A6" s="3"/>
      <c r="B6" s="75"/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  <c r="Q6" s="79"/>
    </row>
    <row r="7" spans="1:17" ht="12.75">
      <c r="A7" s="3"/>
      <c r="B7" s="80" t="s">
        <v>236</v>
      </c>
      <c r="C7" s="81" t="s">
        <v>237</v>
      </c>
      <c r="D7" s="82">
        <f>Orçamento!$H$13</f>
        <v>469.92</v>
      </c>
      <c r="E7" s="82">
        <f>Orçamento!$I$13</f>
        <v>0.17772770903196466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>
        <f aca="true" t="shared" si="0" ref="P7:P25">D7+F7+H7+J7+L7+N7</f>
        <v>469.92</v>
      </c>
      <c r="Q7" s="83">
        <f aca="true" t="shared" si="1" ref="Q7:Q25">E7+G7+I7+K7+M7+O7</f>
        <v>0.17772770903196466</v>
      </c>
    </row>
    <row r="8" spans="1:17" ht="12.75">
      <c r="A8" s="3"/>
      <c r="B8" s="80" t="s">
        <v>238</v>
      </c>
      <c r="C8" s="81" t="s">
        <v>239</v>
      </c>
      <c r="D8" s="82">
        <f>Orçamento!$H$15</f>
        <v>994.75</v>
      </c>
      <c r="E8" s="82">
        <f>Orçamento!$I$15</f>
        <v>0.3762228433766319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>
        <f t="shared" si="0"/>
        <v>994.75</v>
      </c>
      <c r="Q8" s="83">
        <f t="shared" si="1"/>
        <v>0.3762228433766319</v>
      </c>
    </row>
    <row r="9" spans="1:17" ht="12.75">
      <c r="A9" s="3"/>
      <c r="B9" s="80" t="s">
        <v>240</v>
      </c>
      <c r="C9" s="81" t="s">
        <v>241</v>
      </c>
      <c r="D9" s="82">
        <f>Orçamento!$H$17</f>
        <v>239.55</v>
      </c>
      <c r="E9" s="82">
        <f>Orçamento!$I$17</f>
        <v>0.09059983124490793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>
        <f t="shared" si="0"/>
        <v>239.55</v>
      </c>
      <c r="Q9" s="83">
        <f t="shared" si="1"/>
        <v>0.09059983124490793</v>
      </c>
    </row>
    <row r="10" spans="1:17" ht="12.75">
      <c r="A10" s="3"/>
      <c r="B10" s="80" t="s">
        <v>242</v>
      </c>
      <c r="C10" s="81" t="s">
        <v>243</v>
      </c>
      <c r="D10" s="82">
        <f>Orçamento!$H$20</f>
        <v>634.4325</v>
      </c>
      <c r="E10" s="82">
        <f>Orçamento!$I$20</f>
        <v>0.23994772463487812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>
        <f t="shared" si="0"/>
        <v>634.4325</v>
      </c>
      <c r="Q10" s="83">
        <f t="shared" si="1"/>
        <v>0.23994772463487812</v>
      </c>
    </row>
    <row r="11" spans="1:17" ht="12.75">
      <c r="A11" s="3"/>
      <c r="B11" s="80" t="s">
        <v>244</v>
      </c>
      <c r="C11" s="81" t="s">
        <v>245</v>
      </c>
      <c r="D11" s="82">
        <f>Orçamento!$H$25</f>
        <v>535.4682</v>
      </c>
      <c r="E11" s="82">
        <f>Orçamento!$I$25</f>
        <v>0.20251859134633526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>
        <f t="shared" si="0"/>
        <v>535.4682</v>
      </c>
      <c r="Q11" s="83">
        <f t="shared" si="1"/>
        <v>0.20251859134633526</v>
      </c>
    </row>
    <row r="12" spans="1:17" ht="12.75">
      <c r="A12" s="3"/>
      <c r="B12" s="80" t="s">
        <v>246</v>
      </c>
      <c r="C12" s="81" t="s">
        <v>247</v>
      </c>
      <c r="D12" s="82">
        <f>Orçamento!$H$40</f>
        <v>66490.3073</v>
      </c>
      <c r="E12" s="82">
        <f>Orçamento!$I$40</f>
        <v>25.14719524442526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>
        <f t="shared" si="0"/>
        <v>66490.3073</v>
      </c>
      <c r="Q12" s="83">
        <f t="shared" si="1"/>
        <v>25.14719524442526</v>
      </c>
    </row>
    <row r="13" spans="1:17" ht="12.75">
      <c r="A13" s="3"/>
      <c r="B13" s="80" t="s">
        <v>248</v>
      </c>
      <c r="C13" s="81" t="s">
        <v>249</v>
      </c>
      <c r="D13" s="82">
        <f>Orçamento!$H$44*0.5</f>
        <v>11563.02</v>
      </c>
      <c r="E13" s="82">
        <f>Orçamento!$I$44*0.5</f>
        <v>4.373231728998102</v>
      </c>
      <c r="F13" s="82">
        <f>Orçamento!$H$44*0.5</f>
        <v>11563.02</v>
      </c>
      <c r="G13" s="82">
        <f>Orçamento!$I$44*0.5</f>
        <v>4.373231728998102</v>
      </c>
      <c r="H13" s="82"/>
      <c r="I13" s="82"/>
      <c r="J13" s="82"/>
      <c r="K13" s="82"/>
      <c r="L13" s="82"/>
      <c r="M13" s="82"/>
      <c r="N13" s="82"/>
      <c r="O13" s="82"/>
      <c r="P13" s="82">
        <f t="shared" si="0"/>
        <v>23126.04</v>
      </c>
      <c r="Q13" s="83">
        <f t="shared" si="1"/>
        <v>8.746463457996205</v>
      </c>
    </row>
    <row r="14" spans="1:17" ht="12.75">
      <c r="A14" s="3"/>
      <c r="B14" s="80" t="s">
        <v>250</v>
      </c>
      <c r="C14" s="81" t="s">
        <v>251</v>
      </c>
      <c r="D14" s="82"/>
      <c r="E14" s="82"/>
      <c r="F14" s="82">
        <f>Orçamento!$H$47</f>
        <v>7761.88</v>
      </c>
      <c r="G14" s="82">
        <f>Orçamento!$I$47</f>
        <v>2.9356085082163474</v>
      </c>
      <c r="H14" s="82"/>
      <c r="I14" s="82"/>
      <c r="J14" s="82"/>
      <c r="K14" s="82"/>
      <c r="L14" s="82"/>
      <c r="M14" s="82"/>
      <c r="N14" s="82"/>
      <c r="O14" s="82"/>
      <c r="P14" s="82">
        <f t="shared" si="0"/>
        <v>7761.88</v>
      </c>
      <c r="Q14" s="83">
        <f t="shared" si="1"/>
        <v>2.9356085082163474</v>
      </c>
    </row>
    <row r="15" spans="1:17" ht="12.75">
      <c r="A15" s="3"/>
      <c r="B15" s="80" t="s">
        <v>252</v>
      </c>
      <c r="C15" s="81" t="s">
        <v>253</v>
      </c>
      <c r="D15" s="82"/>
      <c r="E15" s="82"/>
      <c r="F15" s="82"/>
      <c r="G15" s="82"/>
      <c r="H15" s="82">
        <f>Orçamento!$H$59*0.3</f>
        <v>9809.313630000002</v>
      </c>
      <c r="I15" s="82">
        <f>Orçamento!$I$59*0.3</f>
        <v>3.70996518266072</v>
      </c>
      <c r="J15" s="82">
        <f>Orçamento!$H$59*0.4</f>
        <v>13079.084840000001</v>
      </c>
      <c r="K15" s="82">
        <f>Orçamento!$I$59*0.4</f>
        <v>4.946620243547626</v>
      </c>
      <c r="L15" s="82">
        <f>Orçamento!$H$59*0.3</f>
        <v>9809.313630000002</v>
      </c>
      <c r="M15" s="82">
        <f>Orçamento!$I$59*0.3</f>
        <v>3.70996518266072</v>
      </c>
      <c r="N15" s="82"/>
      <c r="O15" s="82"/>
      <c r="P15" s="82">
        <f t="shared" si="0"/>
        <v>32697.712100000004</v>
      </c>
      <c r="Q15" s="83">
        <f t="shared" si="1"/>
        <v>12.366550608869066</v>
      </c>
    </row>
    <row r="16" spans="1:17" ht="12.75">
      <c r="A16" s="3"/>
      <c r="B16" s="80" t="s">
        <v>254</v>
      </c>
      <c r="C16" s="81" t="s">
        <v>255</v>
      </c>
      <c r="D16" s="82"/>
      <c r="E16" s="82"/>
      <c r="F16" s="82">
        <f>Orçamento!$H$75*0.3</f>
        <v>2717.9010000000007</v>
      </c>
      <c r="G16" s="82">
        <f>Orçamento!$I$75*0.3</f>
        <v>1.0279330909637514</v>
      </c>
      <c r="H16" s="82"/>
      <c r="I16" s="82"/>
      <c r="J16" s="82"/>
      <c r="K16" s="82"/>
      <c r="L16" s="82">
        <f>Orçamento!$H$75*0.2</f>
        <v>1811.9340000000004</v>
      </c>
      <c r="M16" s="82">
        <f>Orçamento!$I$75*0.2</f>
        <v>0.6852887273091675</v>
      </c>
      <c r="N16" s="82">
        <f>Orçamento!$H$75*0.5</f>
        <v>4529.835000000001</v>
      </c>
      <c r="O16" s="82">
        <f>Orçamento!$I$75*0.5</f>
        <v>1.7132218182729186</v>
      </c>
      <c r="P16" s="82">
        <f t="shared" si="0"/>
        <v>9059.670000000002</v>
      </c>
      <c r="Q16" s="83">
        <f t="shared" si="1"/>
        <v>3.4264436365458373</v>
      </c>
    </row>
    <row r="17" spans="1:17" ht="12.75">
      <c r="A17" s="3"/>
      <c r="B17" s="80" t="s">
        <v>256</v>
      </c>
      <c r="C17" s="81" t="s">
        <v>257</v>
      </c>
      <c r="D17" s="82"/>
      <c r="E17" s="82"/>
      <c r="F17" s="82">
        <f>Orçamento!$H$87*0.3</f>
        <v>2312.2710000000006</v>
      </c>
      <c r="G17" s="82">
        <f>Orçamento!$I$87*0.3</f>
        <v>0.8745204023898752</v>
      </c>
      <c r="H17" s="82"/>
      <c r="I17" s="82"/>
      <c r="J17" s="82"/>
      <c r="K17" s="82"/>
      <c r="L17" s="82">
        <f>Orçamento!$H$87*0.7</f>
        <v>5395.299000000001</v>
      </c>
      <c r="M17" s="82">
        <f>Orçamento!$I$87*0.7</f>
        <v>2.0405476055763754</v>
      </c>
      <c r="N17" s="82"/>
      <c r="O17" s="82"/>
      <c r="P17" s="82">
        <f t="shared" si="0"/>
        <v>7707.5700000000015</v>
      </c>
      <c r="Q17" s="83">
        <f t="shared" si="1"/>
        <v>2.9150680079662505</v>
      </c>
    </row>
    <row r="18" spans="1:17" ht="12.75">
      <c r="A18" s="3"/>
      <c r="B18" s="80" t="s">
        <v>258</v>
      </c>
      <c r="C18" s="81" t="s">
        <v>259</v>
      </c>
      <c r="D18" s="82"/>
      <c r="E18" s="82"/>
      <c r="F18" s="82">
        <f>Orçamento!$H$103*0.3</f>
        <v>2103.8422800000003</v>
      </c>
      <c r="G18" s="82">
        <f>Orçamento!$I$103*0.3</f>
        <v>0.7956909018321953</v>
      </c>
      <c r="H18" s="82"/>
      <c r="I18" s="82"/>
      <c r="J18" s="82"/>
      <c r="K18" s="82"/>
      <c r="L18" s="82">
        <f>Orçamento!$H$103*0.35</f>
        <v>2454.48266</v>
      </c>
      <c r="M18" s="82">
        <f>Orçamento!$I$103*0.35</f>
        <v>0.9283060521375611</v>
      </c>
      <c r="N18" s="82">
        <f>Orçamento!$H$103*0.35</f>
        <v>2454.48266</v>
      </c>
      <c r="O18" s="82">
        <f>Orçamento!$I$103*0.35</f>
        <v>0.9283060521375611</v>
      </c>
      <c r="P18" s="82">
        <f t="shared" si="0"/>
        <v>7012.8076</v>
      </c>
      <c r="Q18" s="83">
        <f t="shared" si="1"/>
        <v>2.6523030061073176</v>
      </c>
    </row>
    <row r="19" spans="1:17" ht="12.75">
      <c r="A19" s="3"/>
      <c r="B19" s="80" t="s">
        <v>260</v>
      </c>
      <c r="C19" s="81" t="s">
        <v>261</v>
      </c>
      <c r="D19" s="82"/>
      <c r="E19" s="82"/>
      <c r="F19" s="82">
        <f>Orçamento!$H$116*0.1</f>
        <v>4149.093950000001</v>
      </c>
      <c r="G19" s="82">
        <f>Orçamento!$I$116*0.1</f>
        <v>1.5692223405938994</v>
      </c>
      <c r="H19" s="82">
        <f>Orçamento!$H$116*0.7</f>
        <v>29043.65765000001</v>
      </c>
      <c r="I19" s="82">
        <f>Orçamento!$I$116*0.7</f>
        <v>10.984556384157296</v>
      </c>
      <c r="J19" s="82">
        <f>Orçamento!$H$116*0.2</f>
        <v>8298.187900000003</v>
      </c>
      <c r="K19" s="82">
        <f>Orçamento!$I$116*0.2</f>
        <v>3.138444681187799</v>
      </c>
      <c r="L19" s="82"/>
      <c r="M19" s="82"/>
      <c r="N19" s="82"/>
      <c r="O19" s="82"/>
      <c r="P19" s="82">
        <f t="shared" si="0"/>
        <v>41490.939500000015</v>
      </c>
      <c r="Q19" s="83">
        <f t="shared" si="1"/>
        <v>15.692223405938995</v>
      </c>
    </row>
    <row r="20" spans="1:17" ht="12.75">
      <c r="A20" s="3"/>
      <c r="B20" s="80" t="s">
        <v>262</v>
      </c>
      <c r="C20" s="81" t="s">
        <v>263</v>
      </c>
      <c r="D20" s="82"/>
      <c r="E20" s="82"/>
      <c r="F20" s="82"/>
      <c r="G20" s="82"/>
      <c r="H20" s="82"/>
      <c r="I20" s="82"/>
      <c r="J20" s="82"/>
      <c r="K20" s="82"/>
      <c r="L20" s="82">
        <f>Orçamento!$H$120</f>
        <v>8698.2848</v>
      </c>
      <c r="M20" s="82">
        <f>Orçamento!$I$120</f>
        <v>3.2897647046551777</v>
      </c>
      <c r="N20" s="82"/>
      <c r="O20" s="82"/>
      <c r="P20" s="82">
        <f t="shared" si="0"/>
        <v>8698.2848</v>
      </c>
      <c r="Q20" s="83">
        <f t="shared" si="1"/>
        <v>3.2897647046551777</v>
      </c>
    </row>
    <row r="21" spans="1:17" ht="12.75">
      <c r="A21" s="3"/>
      <c r="B21" s="80" t="s">
        <v>264</v>
      </c>
      <c r="C21" s="81" t="s">
        <v>265</v>
      </c>
      <c r="D21" s="82"/>
      <c r="E21" s="82"/>
      <c r="F21" s="82"/>
      <c r="G21" s="82"/>
      <c r="H21" s="82"/>
      <c r="I21" s="82"/>
      <c r="J21" s="82">
        <f>Orçamento!$H$136*0.8</f>
        <v>24561.773200000003</v>
      </c>
      <c r="K21" s="82">
        <f>Orçamento!$I$136*0.8</f>
        <v>9.289469868485504</v>
      </c>
      <c r="L21" s="82"/>
      <c r="M21" s="82"/>
      <c r="N21" s="82">
        <f>Orçamento!$H$136*0.2</f>
        <v>6140.443300000001</v>
      </c>
      <c r="O21" s="82">
        <f>Orçamento!$I$136*0.2</f>
        <v>2.322367467121376</v>
      </c>
      <c r="P21" s="82">
        <f t="shared" si="0"/>
        <v>30702.216500000002</v>
      </c>
      <c r="Q21" s="83">
        <f t="shared" si="1"/>
        <v>11.61183733560688</v>
      </c>
    </row>
    <row r="22" spans="1:17" ht="12.75">
      <c r="A22" s="3"/>
      <c r="B22" s="80" t="s">
        <v>266</v>
      </c>
      <c r="C22" s="76" t="s">
        <v>267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>
        <f>Orçamento!$H$145</f>
        <v>22578.898999999998</v>
      </c>
      <c r="O22" s="82">
        <f>Orçamento!$I$145</f>
        <v>8.539530115198582</v>
      </c>
      <c r="P22" s="82">
        <f t="shared" si="0"/>
        <v>22578.898999999998</v>
      </c>
      <c r="Q22" s="83">
        <f t="shared" si="1"/>
        <v>8.539530115198582</v>
      </c>
    </row>
    <row r="23" spans="1:17" ht="12.75">
      <c r="A23" s="3"/>
      <c r="B23" s="80" t="s">
        <v>268</v>
      </c>
      <c r="C23" s="81" t="s">
        <v>269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>
        <f>Orçamento!$H$149</f>
        <v>2084.706</v>
      </c>
      <c r="O23" s="82">
        <f>Orçamento!$I$149</f>
        <v>0.7884533992704948</v>
      </c>
      <c r="P23" s="82">
        <f t="shared" si="0"/>
        <v>2084.706</v>
      </c>
      <c r="Q23" s="83">
        <f t="shared" si="1"/>
        <v>0.7884533992704948</v>
      </c>
    </row>
    <row r="24" spans="1:17" ht="12.75">
      <c r="A24" s="3"/>
      <c r="B24" s="80" t="s">
        <v>270</v>
      </c>
      <c r="C24" s="81" t="s">
        <v>271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>
        <f>Orçamento!$H$161</f>
        <v>1821.84</v>
      </c>
      <c r="O24" s="82">
        <f>Orçamento!$I$161</f>
        <v>0.68903526009277</v>
      </c>
      <c r="P24" s="82">
        <f t="shared" si="0"/>
        <v>1821.84</v>
      </c>
      <c r="Q24" s="83">
        <f t="shared" si="1"/>
        <v>0.68903526009277</v>
      </c>
    </row>
    <row r="25" spans="1:17" ht="12.75">
      <c r="A25" s="3"/>
      <c r="B25" s="80" t="s">
        <v>272</v>
      </c>
      <c r="C25" s="81" t="s">
        <v>273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>
        <f>Orçamento!$H$163</f>
        <v>297.47249999999997</v>
      </c>
      <c r="O25" s="82">
        <f>Orçamento!$I$163</f>
        <v>0.11250660947610466</v>
      </c>
      <c r="P25" s="82">
        <f t="shared" si="0"/>
        <v>297.47249999999997</v>
      </c>
      <c r="Q25" s="83">
        <f t="shared" si="1"/>
        <v>0.11250660947610466</v>
      </c>
    </row>
    <row r="26" spans="1:17" ht="12.75">
      <c r="A26" s="3"/>
      <c r="B26" s="75"/>
      <c r="C26" s="76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3"/>
    </row>
    <row r="27" spans="1:17" ht="12.75">
      <c r="A27" s="3"/>
      <c r="B27" s="75"/>
      <c r="C27" s="84" t="s">
        <v>274</v>
      </c>
      <c r="D27" s="82">
        <f aca="true" t="shared" si="2" ref="D27:O27">SUM(D7:D25)</f>
        <v>80927.448</v>
      </c>
      <c r="E27" s="82">
        <f t="shared" si="2"/>
        <v>30.60744367305808</v>
      </c>
      <c r="F27" s="82">
        <f t="shared" si="2"/>
        <v>30608.008230000007</v>
      </c>
      <c r="G27" s="82">
        <f t="shared" si="2"/>
        <v>11.576206972994171</v>
      </c>
      <c r="H27" s="82">
        <f t="shared" si="2"/>
        <v>38852.97128000001</v>
      </c>
      <c r="I27" s="82">
        <f t="shared" si="2"/>
        <v>14.694521566818015</v>
      </c>
      <c r="J27" s="82">
        <f t="shared" si="2"/>
        <v>45939.04594000001</v>
      </c>
      <c r="K27" s="82">
        <f t="shared" si="2"/>
        <v>17.37453479322093</v>
      </c>
      <c r="L27" s="82">
        <f t="shared" si="2"/>
        <v>28169.314090000007</v>
      </c>
      <c r="M27" s="82">
        <f t="shared" si="2"/>
        <v>10.653872272339001</v>
      </c>
      <c r="N27" s="82">
        <f t="shared" si="2"/>
        <v>39907.678459999996</v>
      </c>
      <c r="O27" s="82">
        <f t="shared" si="2"/>
        <v>15.093420721569808</v>
      </c>
      <c r="P27" s="82">
        <f>SUM(P7:P26)</f>
        <v>264404.466</v>
      </c>
      <c r="Q27" s="83">
        <f>SUM(Q7:Q25)</f>
        <v>100</v>
      </c>
    </row>
    <row r="28" spans="1:17" ht="12.75">
      <c r="A28" s="3"/>
      <c r="B28" s="85"/>
      <c r="C28" s="86" t="s">
        <v>275</v>
      </c>
      <c r="D28" s="87">
        <f>D27</f>
        <v>80927.448</v>
      </c>
      <c r="E28" s="87">
        <f>E27</f>
        <v>30.60744367305808</v>
      </c>
      <c r="F28" s="87">
        <f aca="true" t="shared" si="3" ref="F28:O28">F27+D28</f>
        <v>111535.45623000001</v>
      </c>
      <c r="G28" s="87">
        <f t="shared" si="3"/>
        <v>42.18365064605225</v>
      </c>
      <c r="H28" s="87">
        <f t="shared" si="3"/>
        <v>150388.42751</v>
      </c>
      <c r="I28" s="87">
        <f t="shared" si="3"/>
        <v>56.87817221287027</v>
      </c>
      <c r="J28" s="87">
        <f t="shared" si="3"/>
        <v>196327.47345000002</v>
      </c>
      <c r="K28" s="87">
        <f t="shared" si="3"/>
        <v>74.2527070060912</v>
      </c>
      <c r="L28" s="87">
        <f t="shared" si="3"/>
        <v>224496.78754000002</v>
      </c>
      <c r="M28" s="87">
        <f t="shared" si="3"/>
        <v>84.9065792784302</v>
      </c>
      <c r="N28" s="87">
        <f t="shared" si="3"/>
        <v>264404.466</v>
      </c>
      <c r="O28" s="87">
        <f t="shared" si="3"/>
        <v>100.00000000000001</v>
      </c>
      <c r="P28" s="87">
        <f>P27</f>
        <v>264404.466</v>
      </c>
      <c r="Q28" s="88">
        <v>100</v>
      </c>
    </row>
    <row r="29" spans="1:17" ht="12.75">
      <c r="A29" s="3"/>
      <c r="B29" s="3"/>
      <c r="C29" s="3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>
      <c r="A30" s="3"/>
      <c r="B30" s="3"/>
      <c r="C30" s="3"/>
      <c r="D30" s="3"/>
      <c r="E30" s="3"/>
      <c r="F30" s="3"/>
      <c r="G30" s="3"/>
      <c r="H30" s="3"/>
      <c r="I30" s="3"/>
      <c r="J30" s="3" t="str">
        <f>Orçamento!D171</f>
        <v>Saudades, 05 de março de 2010.</v>
      </c>
      <c r="K30" s="3"/>
      <c r="L30" s="3"/>
      <c r="M30" s="3"/>
      <c r="N30" s="51"/>
      <c r="O30" s="51"/>
      <c r="P30" s="51"/>
      <c r="Q30" s="51"/>
    </row>
    <row r="31" spans="1:1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09" t="s">
        <v>228</v>
      </c>
      <c r="O31" s="209"/>
      <c r="P31" s="209"/>
      <c r="Q31" s="209"/>
    </row>
    <row r="32" spans="1:1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09" t="s">
        <v>229</v>
      </c>
      <c r="O32" s="209"/>
      <c r="P32" s="209"/>
      <c r="Q32" s="209"/>
    </row>
    <row r="33" spans="1:1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09" t="s">
        <v>230</v>
      </c>
      <c r="O33" s="209"/>
      <c r="P33" s="209"/>
      <c r="Q33" s="209"/>
    </row>
    <row r="34" spans="1:1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</sheetData>
  <sheetProtection/>
  <mergeCells count="3">
    <mergeCell ref="N31:Q31"/>
    <mergeCell ref="N32:Q32"/>
    <mergeCell ref="N33:Q33"/>
  </mergeCells>
  <printOptions/>
  <pageMargins left="0.39375" right="0.39375" top="1.2798611111111113" bottom="0.8861111111111111" header="1.1812500000000001" footer="0.787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46"/>
  <sheetViews>
    <sheetView zoomScalePageLayoutView="0" workbookViewId="0" topLeftCell="A7">
      <selection activeCell="AX46" sqref="AX46"/>
    </sheetView>
  </sheetViews>
  <sheetFormatPr defaultColWidth="1.7109375" defaultRowHeight="9.75" customHeight="1"/>
  <cols>
    <col min="1" max="1" width="0.85546875" style="89" customWidth="1"/>
    <col min="2" max="6" width="1.7109375" style="90" customWidth="1"/>
    <col min="7" max="8" width="1.7109375" style="91" customWidth="1"/>
    <col min="9" max="43" width="1.7109375" style="90" customWidth="1"/>
    <col min="44" max="44" width="0.85546875" style="90" customWidth="1"/>
    <col min="45" max="45" width="0" style="90" hidden="1" customWidth="1"/>
    <col min="46" max="46" width="1.7109375" style="90" customWidth="1"/>
    <col min="47" max="47" width="1.28515625" style="90" customWidth="1"/>
    <col min="48" max="48" width="1.57421875" style="90" customWidth="1"/>
    <col min="49" max="49" width="1.28515625" style="90" customWidth="1"/>
    <col min="50" max="50" width="2.28125" style="90" customWidth="1"/>
    <col min="51" max="51" width="3.140625" style="90" customWidth="1"/>
    <col min="52" max="52" width="0.2890625" style="90" customWidth="1"/>
    <col min="53" max="53" width="0" style="90" hidden="1" customWidth="1"/>
    <col min="54" max="58" width="1.7109375" style="90" customWidth="1"/>
    <col min="59" max="59" width="1.57421875" style="90" customWidth="1"/>
    <col min="60" max="60" width="0" style="90" hidden="1" customWidth="1"/>
    <col min="61" max="61" width="1.28515625" style="90" customWidth="1"/>
    <col min="62" max="63" width="1.7109375" style="90" customWidth="1"/>
    <col min="64" max="64" width="1.7109375" style="89" customWidth="1"/>
    <col min="65" max="65" width="1.7109375" style="90" customWidth="1"/>
    <col min="66" max="66" width="4.421875" style="90" customWidth="1"/>
    <col min="67" max="72" width="1.7109375" style="90" customWidth="1"/>
    <col min="73" max="73" width="0.2890625" style="90" customWidth="1"/>
    <col min="74" max="74" width="6.140625" style="90" customWidth="1"/>
    <col min="75" max="75" width="0" style="90" hidden="1" customWidth="1"/>
    <col min="76" max="76" width="0" style="92" hidden="1" customWidth="1"/>
    <col min="77" max="80" width="0" style="90" hidden="1" customWidth="1"/>
    <col min="81" max="83" width="0" style="91" hidden="1" customWidth="1"/>
    <col min="84" max="84" width="0" style="90" hidden="1" customWidth="1"/>
    <col min="85" max="85" width="13.7109375" style="90" customWidth="1"/>
    <col min="86" max="86" width="10.8515625" style="90" customWidth="1"/>
    <col min="87" max="87" width="9.7109375" style="90" customWidth="1"/>
    <col min="88" max="88" width="8.7109375" style="90" customWidth="1"/>
    <col min="89" max="16384" width="1.7109375" style="90" customWidth="1"/>
  </cols>
  <sheetData>
    <row r="1" spans="1:93" s="101" customFormat="1" ht="12" customHeight="1">
      <c r="A1" s="93"/>
      <c r="B1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/>
      <c r="AE1" s="94"/>
      <c r="AF1" s="94"/>
      <c r="AG1" s="95" t="s">
        <v>276</v>
      </c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6"/>
      <c r="BC1" s="96"/>
      <c r="BD1" s="96"/>
      <c r="BE1" s="96"/>
      <c r="BF1" s="96"/>
      <c r="BG1" s="96"/>
      <c r="BH1" s="96"/>
      <c r="BI1" s="96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97"/>
      <c r="BW1" s="98"/>
      <c r="BX1" s="98"/>
      <c r="BY1" s="98"/>
      <c r="BZ1" s="98"/>
      <c r="CA1" s="98"/>
      <c r="CB1" s="98"/>
      <c r="CC1" s="99"/>
      <c r="CD1" s="99"/>
      <c r="CE1" s="99"/>
      <c r="CF1" s="98"/>
      <c r="CG1" s="98"/>
      <c r="CH1" s="98"/>
      <c r="CI1" s="98"/>
      <c r="CJ1" s="98"/>
      <c r="CK1" s="100"/>
      <c r="CL1" s="100"/>
      <c r="CO1" s="102"/>
    </row>
    <row r="2" spans="1:93" s="101" customFormat="1" ht="4.5" customHeight="1">
      <c r="A2" s="89"/>
      <c r="B2" s="103"/>
      <c r="C2" s="90"/>
      <c r="D2" s="90"/>
      <c r="E2" s="90"/>
      <c r="F2" s="90"/>
      <c r="G2" s="91"/>
      <c r="H2" s="91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103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89"/>
      <c r="BK2" s="103"/>
      <c r="BL2" s="89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104"/>
      <c r="BX2" s="104"/>
      <c r="BY2" s="104"/>
      <c r="BZ2" s="104"/>
      <c r="CA2" s="104"/>
      <c r="CB2" s="104"/>
      <c r="CC2" s="99"/>
      <c r="CD2" s="99"/>
      <c r="CE2" s="99"/>
      <c r="CF2" s="105"/>
      <c r="CG2" s="105"/>
      <c r="CH2" s="105"/>
      <c r="CI2" s="105"/>
      <c r="CJ2" s="105"/>
      <c r="CK2" s="100"/>
      <c r="CL2" s="100"/>
      <c r="CO2" s="102"/>
    </row>
    <row r="3" spans="1:83" s="106" customFormat="1" ht="3.75" customHeight="1">
      <c r="A3" s="101"/>
      <c r="G3" s="107"/>
      <c r="H3" s="107"/>
      <c r="BW3" s="104"/>
      <c r="BX3" s="104"/>
      <c r="BY3" s="104"/>
      <c r="BZ3" s="104"/>
      <c r="CA3" s="104"/>
      <c r="CB3" s="104"/>
      <c r="CC3" s="107"/>
      <c r="CD3" s="107"/>
      <c r="CE3" s="107"/>
    </row>
    <row r="4" spans="1:76" ht="12" customHeight="1">
      <c r="A4" s="101"/>
      <c r="B4" s="108" t="s">
        <v>277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R4" s="211" t="s">
        <v>278</v>
      </c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2" t="s">
        <v>279</v>
      </c>
      <c r="AR4" s="212"/>
      <c r="AS4" s="212"/>
      <c r="AT4" s="212"/>
      <c r="AU4" s="212"/>
      <c r="AV4" s="212"/>
      <c r="AW4" s="212"/>
      <c r="AX4" s="212"/>
      <c r="AY4" s="212"/>
      <c r="AZ4" s="213" t="s">
        <v>280</v>
      </c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109"/>
      <c r="BX4" s="90"/>
    </row>
    <row r="5" spans="1:80" ht="3" customHeight="1">
      <c r="A5" s="110"/>
      <c r="B5" s="111"/>
      <c r="C5" s="112"/>
      <c r="D5" s="112"/>
      <c r="E5" s="112"/>
      <c r="F5" s="112"/>
      <c r="G5" s="113"/>
      <c r="H5" s="113"/>
      <c r="I5" s="112"/>
      <c r="J5" s="114"/>
      <c r="K5" s="115"/>
      <c r="L5" s="115"/>
      <c r="M5" s="115"/>
      <c r="N5" s="115"/>
      <c r="O5" s="115"/>
      <c r="P5" s="115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0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4"/>
      <c r="BX5" s="104"/>
      <c r="BY5" s="104"/>
      <c r="BZ5" s="104"/>
      <c r="CA5" s="104"/>
      <c r="CB5" s="104"/>
    </row>
    <row r="6" spans="1:80" ht="3" customHeight="1">
      <c r="A6" s="101"/>
      <c r="B6" s="116"/>
      <c r="C6" s="117"/>
      <c r="D6" s="117"/>
      <c r="E6" s="117"/>
      <c r="F6" s="117"/>
      <c r="G6" s="118"/>
      <c r="H6" s="118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01"/>
      <c r="BW6" s="104"/>
      <c r="BX6" s="104"/>
      <c r="BY6" s="104"/>
      <c r="BZ6" s="104"/>
      <c r="CA6" s="104"/>
      <c r="CB6" s="104"/>
    </row>
    <row r="7" spans="1:80" ht="9.75" customHeight="1">
      <c r="A7" s="101"/>
      <c r="B7" s="217" t="s">
        <v>281</v>
      </c>
      <c r="C7" s="217"/>
      <c r="D7" s="217"/>
      <c r="E7" s="217"/>
      <c r="F7" s="217"/>
      <c r="G7" s="218" t="s">
        <v>282</v>
      </c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9" t="s">
        <v>283</v>
      </c>
      <c r="AF7" s="219"/>
      <c r="AG7" s="219"/>
      <c r="AH7" s="219" t="s">
        <v>284</v>
      </c>
      <c r="AI7" s="219"/>
      <c r="AJ7" s="219"/>
      <c r="AK7" s="219"/>
      <c r="AL7" s="219"/>
      <c r="AM7" s="214" t="s">
        <v>285</v>
      </c>
      <c r="AN7" s="214"/>
      <c r="AO7" s="214"/>
      <c r="AP7" s="214"/>
      <c r="AQ7" s="214"/>
      <c r="AR7" s="214"/>
      <c r="AS7" s="214"/>
      <c r="AT7" s="224" t="s">
        <v>286</v>
      </c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14" t="s">
        <v>287</v>
      </c>
      <c r="BI7" s="214"/>
      <c r="BJ7" s="214"/>
      <c r="BK7" s="214"/>
      <c r="BL7" s="214"/>
      <c r="BM7" s="214"/>
      <c r="BN7" s="214"/>
      <c r="BO7" s="215" t="s">
        <v>288</v>
      </c>
      <c r="BP7" s="215"/>
      <c r="BQ7" s="215"/>
      <c r="BR7" s="215"/>
      <c r="BS7" s="215"/>
      <c r="BT7" s="215"/>
      <c r="BU7" s="215"/>
      <c r="BV7" s="119" t="s">
        <v>289</v>
      </c>
      <c r="BW7" s="104"/>
      <c r="BX7" s="104"/>
      <c r="BY7" s="104"/>
      <c r="BZ7" s="104"/>
      <c r="CA7" s="104"/>
      <c r="CB7" s="104"/>
    </row>
    <row r="8" spans="1:83" ht="9.75" customHeight="1">
      <c r="A8" s="101"/>
      <c r="B8" s="217"/>
      <c r="C8" s="217"/>
      <c r="D8" s="217"/>
      <c r="E8" s="217"/>
      <c r="F8" s="217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9"/>
      <c r="AF8" s="219"/>
      <c r="AG8" s="219"/>
      <c r="AH8" s="219"/>
      <c r="AI8" s="219"/>
      <c r="AJ8" s="219"/>
      <c r="AK8" s="219"/>
      <c r="AL8" s="219"/>
      <c r="AM8" s="214"/>
      <c r="AN8" s="214"/>
      <c r="AO8" s="214"/>
      <c r="AP8" s="214"/>
      <c r="AQ8" s="214"/>
      <c r="AR8" s="214"/>
      <c r="AS8" s="214"/>
      <c r="AT8" s="216" t="s">
        <v>290</v>
      </c>
      <c r="AU8" s="216"/>
      <c r="AV8" s="216"/>
      <c r="AW8" s="216"/>
      <c r="AX8" s="216"/>
      <c r="AY8" s="216"/>
      <c r="AZ8" s="216"/>
      <c r="BA8" s="216" t="s">
        <v>291</v>
      </c>
      <c r="BB8" s="216"/>
      <c r="BC8" s="216"/>
      <c r="BD8" s="216"/>
      <c r="BE8" s="216"/>
      <c r="BF8" s="216"/>
      <c r="BG8" s="216"/>
      <c r="BH8" s="214"/>
      <c r="BI8" s="214"/>
      <c r="BJ8" s="214"/>
      <c r="BK8" s="214"/>
      <c r="BL8" s="214"/>
      <c r="BM8" s="214"/>
      <c r="BN8" s="214"/>
      <c r="BO8" s="215"/>
      <c r="BP8" s="215"/>
      <c r="BQ8" s="215"/>
      <c r="BR8" s="215"/>
      <c r="BS8" s="215"/>
      <c r="BT8" s="215"/>
      <c r="BU8" s="215"/>
      <c r="BV8" s="120" t="s">
        <v>7</v>
      </c>
      <c r="CC8" s="91" t="s">
        <v>292</v>
      </c>
      <c r="CD8" s="91" t="s">
        <v>293</v>
      </c>
      <c r="CE8" s="91" t="s">
        <v>294</v>
      </c>
    </row>
    <row r="9" spans="1:83" ht="11.25" customHeight="1">
      <c r="A9" s="101"/>
      <c r="B9" s="220"/>
      <c r="C9" s="220"/>
      <c r="D9" s="220"/>
      <c r="E9" s="220"/>
      <c r="F9" s="220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2"/>
      <c r="AF9" s="222"/>
      <c r="AG9" s="222"/>
      <c r="AH9" s="223"/>
      <c r="AI9" s="223"/>
      <c r="AJ9" s="223"/>
      <c r="AK9" s="223"/>
      <c r="AL9" s="223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32"/>
      <c r="BP9" s="232"/>
      <c r="BQ9" s="232"/>
      <c r="BR9" s="232"/>
      <c r="BS9" s="232"/>
      <c r="BT9" s="232"/>
      <c r="BU9" s="232"/>
      <c r="BV9" s="121"/>
      <c r="BW9" s="122">
        <v>1</v>
      </c>
      <c r="CC9" s="123">
        <f>AM9/$BO$36*100</f>
        <v>0</v>
      </c>
      <c r="CD9" s="123">
        <f>AT9/$BO$36*100</f>
        <v>0</v>
      </c>
      <c r="CE9" s="123">
        <f>BA9/$BO$36*100</f>
        <v>0</v>
      </c>
    </row>
    <row r="10" spans="1:88" ht="11.25" customHeight="1">
      <c r="A10" s="101"/>
      <c r="B10" s="228" t="s">
        <v>8</v>
      </c>
      <c r="C10" s="228"/>
      <c r="D10" s="228"/>
      <c r="E10" s="228"/>
      <c r="F10" s="228"/>
      <c r="G10" s="229" t="str">
        <f>Cronograma!C7</f>
        <v> Limpeza do terreno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33" t="s">
        <v>95</v>
      </c>
      <c r="AF10" s="233"/>
      <c r="AG10" s="233"/>
      <c r="AH10" s="234">
        <v>1</v>
      </c>
      <c r="AI10" s="234"/>
      <c r="AJ10" s="234"/>
      <c r="AK10" s="234"/>
      <c r="AL10" s="234"/>
      <c r="AM10" s="225">
        <f aca="true" t="shared" si="0" ref="AM10:AM28">BO10*$CJ$10</f>
        <v>345.1626764210086</v>
      </c>
      <c r="AN10" s="225"/>
      <c r="AO10" s="225"/>
      <c r="AP10" s="225"/>
      <c r="AQ10" s="225"/>
      <c r="AR10" s="225"/>
      <c r="AS10" s="225"/>
      <c r="AT10" s="225">
        <f aca="true" t="shared" si="1" ref="AT10:AT28">BO10-AM10</f>
        <v>124.75732357899142</v>
      </c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6">
        <f>Cronograma!P7</f>
        <v>469.92</v>
      </c>
      <c r="BP10" s="226"/>
      <c r="BQ10" s="226"/>
      <c r="BR10" s="226"/>
      <c r="BS10" s="226"/>
      <c r="BT10" s="226"/>
      <c r="BU10" s="226"/>
      <c r="BV10" s="125">
        <f aca="true" t="shared" si="2" ref="BV10:BV28">IF(BO10=0,0,BO10*100/$BO$36)</f>
        <v>0.17772770903196466</v>
      </c>
      <c r="BW10" s="122">
        <v>2</v>
      </c>
      <c r="BX10" s="126" t="s">
        <v>295</v>
      </c>
      <c r="BY10" s="127">
        <v>0</v>
      </c>
      <c r="BZ10" s="128"/>
      <c r="CA10" s="129">
        <f>IF(BY15&gt;BY20,BY15,BY20)</f>
        <v>0</v>
      </c>
      <c r="CB10" s="130" t="s">
        <v>296</v>
      </c>
      <c r="CC10" s="123">
        <f>AM10/$BO$36*100</f>
        <v>0.13054343659271195</v>
      </c>
      <c r="CD10" s="123">
        <f>AT10/$BO$36*100</f>
        <v>0.04718427243925275</v>
      </c>
      <c r="CE10" s="123">
        <f>BA10/$BO$36*100</f>
        <v>0</v>
      </c>
      <c r="CH10" s="92" t="s">
        <v>297</v>
      </c>
      <c r="CI10" s="128">
        <v>150000</v>
      </c>
      <c r="CJ10" s="131">
        <f>CI10/CI13</f>
        <v>0.7345136968441619</v>
      </c>
    </row>
    <row r="11" spans="1:88" ht="11.25" customHeight="1">
      <c r="A11" s="101"/>
      <c r="B11" s="228" t="s">
        <v>11</v>
      </c>
      <c r="C11" s="228"/>
      <c r="D11" s="228"/>
      <c r="E11" s="228"/>
      <c r="F11" s="228"/>
      <c r="G11" s="229" t="str">
        <f>Cronograma!C8</f>
        <v> Instalações provisórias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30" t="s">
        <v>95</v>
      </c>
      <c r="AF11" s="230"/>
      <c r="AG11" s="230"/>
      <c r="AH11" s="231">
        <v>1</v>
      </c>
      <c r="AI11" s="231"/>
      <c r="AJ11" s="231"/>
      <c r="AK11" s="231"/>
      <c r="AL11" s="231"/>
      <c r="AM11" s="225">
        <f t="shared" si="0"/>
        <v>730.65749993573</v>
      </c>
      <c r="AN11" s="225"/>
      <c r="AO11" s="225"/>
      <c r="AP11" s="225"/>
      <c r="AQ11" s="225"/>
      <c r="AR11" s="225"/>
      <c r="AS11" s="225"/>
      <c r="AT11" s="225">
        <f t="shared" si="1"/>
        <v>264.09250006427</v>
      </c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6">
        <f>Cronograma!P8</f>
        <v>994.75</v>
      </c>
      <c r="BP11" s="226"/>
      <c r="BQ11" s="226"/>
      <c r="BR11" s="226"/>
      <c r="BS11" s="226"/>
      <c r="BT11" s="226"/>
      <c r="BU11" s="226"/>
      <c r="BV11" s="125">
        <f t="shared" si="2"/>
        <v>0.3762228433766319</v>
      </c>
      <c r="BW11" s="122">
        <v>3</v>
      </c>
      <c r="BX11" s="132" t="s">
        <v>298</v>
      </c>
      <c r="BY11" s="133">
        <v>0</v>
      </c>
      <c r="BZ11" s="134"/>
      <c r="CA11" s="135">
        <f>BY13+BY14</f>
        <v>0</v>
      </c>
      <c r="CB11" s="130" t="s">
        <v>299</v>
      </c>
      <c r="CC11" s="123">
        <f>AM11/$BO$36*100</f>
        <v>0.276340831525792</v>
      </c>
      <c r="CD11" s="123">
        <f>AT11/$BO$36*100</f>
        <v>0.09988201185083992</v>
      </c>
      <c r="CE11" s="123">
        <f>BA11/$BO$36*100</f>
        <v>0</v>
      </c>
      <c r="CH11" s="92" t="s">
        <v>300</v>
      </c>
      <c r="CI11" s="128">
        <v>54216.75</v>
      </c>
      <c r="CJ11" s="131">
        <f>CI11/CI13</f>
        <v>0.2654863031558381</v>
      </c>
    </row>
    <row r="12" spans="1:88" ht="11.25" customHeight="1">
      <c r="A12" s="101"/>
      <c r="B12" s="228" t="s">
        <v>13</v>
      </c>
      <c r="C12" s="228"/>
      <c r="D12" s="228"/>
      <c r="E12" s="228"/>
      <c r="F12" s="228"/>
      <c r="G12" s="229" t="str">
        <f>Cronograma!C9</f>
        <v> Placa da obra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30" t="s">
        <v>95</v>
      </c>
      <c r="AF12" s="230"/>
      <c r="AG12" s="230"/>
      <c r="AH12" s="231">
        <v>1</v>
      </c>
      <c r="AI12" s="231"/>
      <c r="AJ12" s="231"/>
      <c r="AK12" s="231"/>
      <c r="AL12" s="231"/>
      <c r="AM12" s="225">
        <f t="shared" si="0"/>
        <v>175.952756079019</v>
      </c>
      <c r="AN12" s="225"/>
      <c r="AO12" s="225"/>
      <c r="AP12" s="225"/>
      <c r="AQ12" s="225"/>
      <c r="AR12" s="225"/>
      <c r="AS12" s="124"/>
      <c r="AT12" s="225">
        <f t="shared" si="1"/>
        <v>63.597243920981015</v>
      </c>
      <c r="AU12" s="225"/>
      <c r="AV12" s="225"/>
      <c r="AW12" s="225"/>
      <c r="AX12" s="225"/>
      <c r="AY12" s="225"/>
      <c r="AZ12" s="225"/>
      <c r="BA12" s="124"/>
      <c r="BB12" s="225"/>
      <c r="BC12" s="225"/>
      <c r="BD12" s="225"/>
      <c r="BE12" s="225"/>
      <c r="BF12" s="225"/>
      <c r="BG12" s="225"/>
      <c r="BH12" s="124"/>
      <c r="BI12" s="225"/>
      <c r="BJ12" s="225"/>
      <c r="BK12" s="225"/>
      <c r="BL12" s="225"/>
      <c r="BM12" s="225"/>
      <c r="BN12" s="225"/>
      <c r="BO12" s="226">
        <f>Cronograma!P9</f>
        <v>239.55</v>
      </c>
      <c r="BP12" s="226"/>
      <c r="BQ12" s="226"/>
      <c r="BR12" s="226"/>
      <c r="BS12" s="226"/>
      <c r="BT12" s="226"/>
      <c r="BU12" s="226"/>
      <c r="BV12" s="125">
        <f t="shared" si="2"/>
        <v>0.09059983124490793</v>
      </c>
      <c r="BW12" s="122"/>
      <c r="BX12" s="132"/>
      <c r="BY12" s="133"/>
      <c r="BZ12" s="134"/>
      <c r="CA12" s="135"/>
      <c r="CB12" s="130"/>
      <c r="CC12" s="123"/>
      <c r="CD12" s="123"/>
      <c r="CE12" s="123"/>
      <c r="CH12" s="92"/>
      <c r="CI12" s="128"/>
      <c r="CJ12" s="131"/>
    </row>
    <row r="13" spans="1:87" ht="11.25" customHeight="1">
      <c r="A13" s="101"/>
      <c r="B13" s="228" t="s">
        <v>15</v>
      </c>
      <c r="C13" s="228"/>
      <c r="D13" s="228"/>
      <c r="E13" s="228"/>
      <c r="F13" s="228"/>
      <c r="G13" s="229" t="str">
        <f>Cronograma!C10</f>
        <v> Locação da obra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30" t="s">
        <v>95</v>
      </c>
      <c r="AF13" s="230"/>
      <c r="AG13" s="230"/>
      <c r="AH13" s="231">
        <v>1</v>
      </c>
      <c r="AI13" s="231"/>
      <c r="AJ13" s="231"/>
      <c r="AK13" s="231"/>
      <c r="AL13" s="231"/>
      <c r="AM13" s="225">
        <f t="shared" si="0"/>
        <v>465.99936097308375</v>
      </c>
      <c r="AN13" s="225"/>
      <c r="AO13" s="225"/>
      <c r="AP13" s="225"/>
      <c r="AQ13" s="225"/>
      <c r="AR13" s="225"/>
      <c r="AS13" s="225"/>
      <c r="AT13" s="225">
        <f t="shared" si="1"/>
        <v>168.43313902691625</v>
      </c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6">
        <f>Cronograma!P10</f>
        <v>634.4325</v>
      </c>
      <c r="BP13" s="226"/>
      <c r="BQ13" s="226"/>
      <c r="BR13" s="226"/>
      <c r="BS13" s="226"/>
      <c r="BT13" s="226"/>
      <c r="BU13" s="226"/>
      <c r="BV13" s="125">
        <f t="shared" si="2"/>
        <v>0.23994772463487812</v>
      </c>
      <c r="BW13" s="122">
        <v>4</v>
      </c>
      <c r="BX13" s="136" t="s">
        <v>301</v>
      </c>
      <c r="BY13" s="127">
        <v>0</v>
      </c>
      <c r="BZ13" s="137"/>
      <c r="CA13" s="129">
        <f>CA10+CA11</f>
        <v>0</v>
      </c>
      <c r="CB13" s="138" t="s">
        <v>302</v>
      </c>
      <c r="CC13" s="123">
        <f>AM13/$BO$36*100</f>
        <v>0.17624489027090934</v>
      </c>
      <c r="CD13" s="123">
        <f>AT13/$BO$36*100</f>
        <v>0.06370283436396881</v>
      </c>
      <c r="CE13" s="123">
        <f>BA13/$BO$36*100</f>
        <v>0</v>
      </c>
      <c r="CH13" s="92" t="s">
        <v>303</v>
      </c>
      <c r="CI13" s="128">
        <f>SUM(CI10:CI11)</f>
        <v>204216.75</v>
      </c>
    </row>
    <row r="14" spans="1:83" ht="11.25" customHeight="1">
      <c r="A14" s="101"/>
      <c r="B14" s="228" t="s">
        <v>22</v>
      </c>
      <c r="C14" s="228"/>
      <c r="D14" s="228"/>
      <c r="E14" s="228"/>
      <c r="F14" s="228"/>
      <c r="G14" s="229" t="str">
        <f>Cronograma!C11</f>
        <v> Escavações</v>
      </c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30" t="s">
        <v>95</v>
      </c>
      <c r="AF14" s="230"/>
      <c r="AG14" s="230"/>
      <c r="AH14" s="231">
        <v>1</v>
      </c>
      <c r="AI14" s="231"/>
      <c r="AJ14" s="231"/>
      <c r="AK14" s="231"/>
      <c r="AL14" s="231"/>
      <c r="AM14" s="225">
        <f t="shared" si="0"/>
        <v>393.30872712448905</v>
      </c>
      <c r="AN14" s="225"/>
      <c r="AO14" s="225"/>
      <c r="AP14" s="225"/>
      <c r="AQ14" s="225"/>
      <c r="AR14" s="225"/>
      <c r="AS14" s="225"/>
      <c r="AT14" s="225">
        <f t="shared" si="1"/>
        <v>142.15947287551097</v>
      </c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6">
        <f>Cronograma!P11</f>
        <v>535.4682</v>
      </c>
      <c r="BP14" s="226"/>
      <c r="BQ14" s="226"/>
      <c r="BR14" s="226"/>
      <c r="BS14" s="226"/>
      <c r="BT14" s="226"/>
      <c r="BU14" s="226"/>
      <c r="BV14" s="125">
        <f t="shared" si="2"/>
        <v>0.20251859134633526</v>
      </c>
      <c r="BW14" s="122">
        <v>5</v>
      </c>
      <c r="BX14" s="136" t="s">
        <v>304</v>
      </c>
      <c r="BY14" s="127">
        <v>0</v>
      </c>
      <c r="BZ14" s="128"/>
      <c r="CA14" s="129">
        <f>IF(BY17&lt;BZ17,BY17,BZ17)</f>
        <v>0</v>
      </c>
      <c r="CB14" s="130" t="s">
        <v>305</v>
      </c>
      <c r="CC14" s="123">
        <f>AM14/$BO$36*100</f>
        <v>0.1487526792094688</v>
      </c>
      <c r="CD14" s="123">
        <f>AT14/$BO$36*100</f>
        <v>0.05376591213686646</v>
      </c>
      <c r="CE14" s="123">
        <f>BA14/$BO$36*100</f>
        <v>0</v>
      </c>
    </row>
    <row r="15" spans="1:83" ht="11.25" customHeight="1">
      <c r="A15" s="101"/>
      <c r="B15" s="228" t="s">
        <v>30</v>
      </c>
      <c r="C15" s="228"/>
      <c r="D15" s="228"/>
      <c r="E15" s="228"/>
      <c r="F15" s="228"/>
      <c r="G15" s="229" t="str">
        <f>Cronograma!C12</f>
        <v> Fund.e est.de concreto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30" t="s">
        <v>95</v>
      </c>
      <c r="AF15" s="230"/>
      <c r="AG15" s="230"/>
      <c r="AH15" s="231">
        <v>1</v>
      </c>
      <c r="AI15" s="231"/>
      <c r="AJ15" s="231"/>
      <c r="AK15" s="231"/>
      <c r="AL15" s="231"/>
      <c r="AM15" s="225">
        <f t="shared" si="0"/>
        <v>48838.04141922737</v>
      </c>
      <c r="AN15" s="225"/>
      <c r="AO15" s="225"/>
      <c r="AP15" s="225"/>
      <c r="AQ15" s="225"/>
      <c r="AR15" s="225"/>
      <c r="AS15" s="225"/>
      <c r="AT15" s="225">
        <f t="shared" si="1"/>
        <v>17652.265880772633</v>
      </c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6">
        <f>Cronograma!P12</f>
        <v>66490.3073</v>
      </c>
      <c r="BP15" s="226"/>
      <c r="BQ15" s="226"/>
      <c r="BR15" s="226"/>
      <c r="BS15" s="226"/>
      <c r="BT15" s="226"/>
      <c r="BU15" s="226"/>
      <c r="BV15" s="125">
        <f t="shared" si="2"/>
        <v>25.14719524442526</v>
      </c>
      <c r="BW15" s="122">
        <v>6</v>
      </c>
      <c r="BX15" s="136" t="s">
        <v>306</v>
      </c>
      <c r="BY15" s="127">
        <v>0</v>
      </c>
      <c r="BZ15" s="128"/>
      <c r="CA15" s="129" t="e">
        <f>#N/A</f>
        <v>#N/A</v>
      </c>
      <c r="CB15" s="130" t="s">
        <v>307</v>
      </c>
      <c r="CC15" s="123">
        <f>AM15/$BO$36*100</f>
        <v>18.470959344244726</v>
      </c>
      <c r="CD15" s="123">
        <f>AT15/$BO$36*100</f>
        <v>6.676235900180533</v>
      </c>
      <c r="CE15" s="123">
        <f>BA15/$BO$36*100</f>
        <v>0</v>
      </c>
    </row>
    <row r="16" spans="1:83" ht="11.25" customHeight="1">
      <c r="A16" s="101"/>
      <c r="B16" s="228" t="s">
        <v>55</v>
      </c>
      <c r="C16" s="228"/>
      <c r="D16" s="228"/>
      <c r="E16" s="228"/>
      <c r="F16" s="228"/>
      <c r="G16" s="229" t="str">
        <f>Cronograma!C13</f>
        <v> Alvenaria</v>
      </c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30" t="s">
        <v>95</v>
      </c>
      <c r="AF16" s="230"/>
      <c r="AG16" s="230"/>
      <c r="AH16" s="231">
        <v>1</v>
      </c>
      <c r="AI16" s="231"/>
      <c r="AJ16" s="231"/>
      <c r="AK16" s="231"/>
      <c r="AL16" s="231"/>
      <c r="AM16" s="225">
        <f t="shared" si="0"/>
        <v>16986.393133765963</v>
      </c>
      <c r="AN16" s="225"/>
      <c r="AO16" s="225"/>
      <c r="AP16" s="225"/>
      <c r="AQ16" s="225"/>
      <c r="AR16" s="225"/>
      <c r="AS16" s="225"/>
      <c r="AT16" s="225">
        <f t="shared" si="1"/>
        <v>6139.646866234038</v>
      </c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6">
        <f>Cronograma!P13</f>
        <v>23126.04</v>
      </c>
      <c r="BP16" s="226"/>
      <c r="BQ16" s="226"/>
      <c r="BR16" s="226"/>
      <c r="BS16" s="226"/>
      <c r="BT16" s="226"/>
      <c r="BU16" s="226"/>
      <c r="BV16" s="125">
        <f t="shared" si="2"/>
        <v>8.746463457996205</v>
      </c>
      <c r="BW16" s="122">
        <v>7</v>
      </c>
      <c r="BX16" s="139" t="s">
        <v>292</v>
      </c>
      <c r="BY16" s="140">
        <v>0</v>
      </c>
      <c r="BZ16" s="128"/>
      <c r="CA16" s="129" t="e">
        <f>IF(CA11&gt;CA15,CA11,CA15)</f>
        <v>#N/A</v>
      </c>
      <c r="CB16" s="130" t="s">
        <v>308</v>
      </c>
      <c r="CC16" s="123">
        <f>AM16/$BO$36*100</f>
        <v>6.424397208845164</v>
      </c>
      <c r="CD16" s="123">
        <f>AT16/$BO$36*100</f>
        <v>2.32206624915104</v>
      </c>
      <c r="CE16" s="123">
        <f>BA16/$BO$36*100</f>
        <v>0</v>
      </c>
    </row>
    <row r="17" spans="1:83" ht="11.25" customHeight="1">
      <c r="A17" s="101"/>
      <c r="B17" s="228" t="s">
        <v>60</v>
      </c>
      <c r="C17" s="228"/>
      <c r="D17" s="228"/>
      <c r="E17" s="228"/>
      <c r="F17" s="228"/>
      <c r="G17" s="229" t="str">
        <f>Cronograma!C14</f>
        <v> Contrapiso</v>
      </c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30" t="s">
        <v>95</v>
      </c>
      <c r="AF17" s="230"/>
      <c r="AG17" s="230"/>
      <c r="AH17" s="231">
        <v>1</v>
      </c>
      <c r="AI17" s="231"/>
      <c r="AJ17" s="231"/>
      <c r="AK17" s="231"/>
      <c r="AL17" s="231"/>
      <c r="AM17" s="225">
        <f t="shared" si="0"/>
        <v>5701.207173260764</v>
      </c>
      <c r="AN17" s="225"/>
      <c r="AO17" s="225"/>
      <c r="AP17" s="225"/>
      <c r="AQ17" s="225"/>
      <c r="AR17" s="225"/>
      <c r="AS17" s="225"/>
      <c r="AT17" s="225">
        <f t="shared" si="1"/>
        <v>2060.6728267392364</v>
      </c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6">
        <f>Cronograma!P14</f>
        <v>7761.88</v>
      </c>
      <c r="BP17" s="226"/>
      <c r="BQ17" s="226"/>
      <c r="BR17" s="226"/>
      <c r="BS17" s="226"/>
      <c r="BT17" s="226"/>
      <c r="BU17" s="226"/>
      <c r="BV17" s="125">
        <f t="shared" si="2"/>
        <v>2.9356085082163474</v>
      </c>
      <c r="BW17" s="122">
        <v>8</v>
      </c>
      <c r="BX17" s="136" t="s">
        <v>309</v>
      </c>
      <c r="BY17" s="141"/>
      <c r="BZ17" s="129">
        <v>0</v>
      </c>
      <c r="CA17" s="129" t="e">
        <f>IF(CA13&gt;CA16,CA13,CA16)</f>
        <v>#N/A</v>
      </c>
      <c r="CB17" s="130" t="s">
        <v>310</v>
      </c>
      <c r="CC17" s="123">
        <f>AM17/$BO$36*100</f>
        <v>2.156244657857165</v>
      </c>
      <c r="CD17" s="123">
        <f>AT17/$BO$36*100</f>
        <v>0.7793638503591828</v>
      </c>
      <c r="CE17" s="123">
        <f>BA17/$BO$36*100</f>
        <v>0</v>
      </c>
    </row>
    <row r="18" spans="1:83" ht="11.25" customHeight="1">
      <c r="A18" s="101"/>
      <c r="B18" s="228" t="s">
        <v>63</v>
      </c>
      <c r="C18" s="228"/>
      <c r="D18" s="228"/>
      <c r="E18" s="228"/>
      <c r="F18" s="228"/>
      <c r="G18" s="229" t="str">
        <f>Cronograma!C15</f>
        <v> Cobertura</v>
      </c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30" t="s">
        <v>95</v>
      </c>
      <c r="AF18" s="230"/>
      <c r="AG18" s="230"/>
      <c r="AH18" s="231">
        <v>1</v>
      </c>
      <c r="AI18" s="231"/>
      <c r="AJ18" s="231"/>
      <c r="AK18" s="231"/>
      <c r="AL18" s="231"/>
      <c r="AM18" s="225">
        <f t="shared" si="0"/>
        <v>24016.917392917087</v>
      </c>
      <c r="AN18" s="225"/>
      <c r="AO18" s="225"/>
      <c r="AP18" s="225"/>
      <c r="AQ18" s="225"/>
      <c r="AR18" s="225"/>
      <c r="AS18" s="124"/>
      <c r="AT18" s="225">
        <f t="shared" si="1"/>
        <v>8680.794707082918</v>
      </c>
      <c r="AU18" s="225"/>
      <c r="AV18" s="225"/>
      <c r="AW18" s="225"/>
      <c r="AX18" s="225"/>
      <c r="AY18" s="225"/>
      <c r="AZ18" s="225"/>
      <c r="BA18" s="124"/>
      <c r="BB18" s="225"/>
      <c r="BC18" s="225"/>
      <c r="BD18" s="225"/>
      <c r="BE18" s="225"/>
      <c r="BF18" s="225"/>
      <c r="BG18" s="225"/>
      <c r="BH18" s="124"/>
      <c r="BI18" s="225"/>
      <c r="BJ18" s="225"/>
      <c r="BK18" s="225"/>
      <c r="BL18" s="225"/>
      <c r="BM18" s="225"/>
      <c r="BN18" s="225"/>
      <c r="BO18" s="226">
        <f>Cronograma!P15</f>
        <v>32697.712100000004</v>
      </c>
      <c r="BP18" s="226"/>
      <c r="BQ18" s="226"/>
      <c r="BR18" s="226"/>
      <c r="BS18" s="226"/>
      <c r="BT18" s="226"/>
      <c r="BU18" s="226"/>
      <c r="BV18" s="125">
        <f t="shared" si="2"/>
        <v>12.366550608869066</v>
      </c>
      <c r="BW18" s="122"/>
      <c r="BX18" s="136"/>
      <c r="BY18" s="141"/>
      <c r="BZ18" s="129"/>
      <c r="CA18" s="129"/>
      <c r="CB18" s="130"/>
      <c r="CC18" s="123"/>
      <c r="CD18" s="123"/>
      <c r="CE18" s="123"/>
    </row>
    <row r="19" spans="1:83" ht="11.25" customHeight="1">
      <c r="A19" s="101"/>
      <c r="B19" s="228" t="s">
        <v>76</v>
      </c>
      <c r="C19" s="228"/>
      <c r="D19" s="228"/>
      <c r="E19" s="228"/>
      <c r="F19" s="228"/>
      <c r="G19" s="229" t="str">
        <f>Cronograma!C16</f>
        <v> Instalações hidráulicas</v>
      </c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30" t="s">
        <v>95</v>
      </c>
      <c r="AF19" s="230"/>
      <c r="AG19" s="230"/>
      <c r="AH19" s="231">
        <v>1</v>
      </c>
      <c r="AI19" s="231"/>
      <c r="AJ19" s="231"/>
      <c r="AK19" s="231"/>
      <c r="AL19" s="231"/>
      <c r="AM19" s="225">
        <f t="shared" si="0"/>
        <v>6654.4517038881495</v>
      </c>
      <c r="AN19" s="225"/>
      <c r="AO19" s="225"/>
      <c r="AP19" s="225"/>
      <c r="AQ19" s="225"/>
      <c r="AR19" s="225"/>
      <c r="AS19" s="124"/>
      <c r="AT19" s="225">
        <f t="shared" si="1"/>
        <v>2405.2182961118524</v>
      </c>
      <c r="AU19" s="225"/>
      <c r="AV19" s="225"/>
      <c r="AW19" s="225"/>
      <c r="AX19" s="225"/>
      <c r="AY19" s="225"/>
      <c r="AZ19" s="225"/>
      <c r="BA19" s="124"/>
      <c r="BB19" s="225"/>
      <c r="BC19" s="225"/>
      <c r="BD19" s="225"/>
      <c r="BE19" s="225"/>
      <c r="BF19" s="225"/>
      <c r="BG19" s="225"/>
      <c r="BH19" s="124"/>
      <c r="BI19" s="225"/>
      <c r="BJ19" s="225"/>
      <c r="BK19" s="225"/>
      <c r="BL19" s="225"/>
      <c r="BM19" s="225"/>
      <c r="BN19" s="225"/>
      <c r="BO19" s="226">
        <f>Cronograma!P16</f>
        <v>9059.670000000002</v>
      </c>
      <c r="BP19" s="226"/>
      <c r="BQ19" s="226"/>
      <c r="BR19" s="226"/>
      <c r="BS19" s="226"/>
      <c r="BT19" s="226"/>
      <c r="BU19" s="226"/>
      <c r="BV19" s="125">
        <f t="shared" si="2"/>
        <v>3.4264436365458373</v>
      </c>
      <c r="BW19" s="122"/>
      <c r="BX19" s="136"/>
      <c r="BY19" s="141"/>
      <c r="BZ19" s="129"/>
      <c r="CA19" s="129"/>
      <c r="CB19" s="130"/>
      <c r="CC19" s="123"/>
      <c r="CD19" s="123"/>
      <c r="CE19" s="123"/>
    </row>
    <row r="20" spans="1:83" ht="11.25" customHeight="1">
      <c r="A20" s="101"/>
      <c r="B20" s="228" t="s">
        <v>105</v>
      </c>
      <c r="C20" s="228"/>
      <c r="D20" s="228"/>
      <c r="E20" s="228"/>
      <c r="F20" s="228"/>
      <c r="G20" s="229" t="str">
        <f>Cronograma!C17</f>
        <v> Instalações sanitárias</v>
      </c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30" t="s">
        <v>95</v>
      </c>
      <c r="AF20" s="230"/>
      <c r="AG20" s="230"/>
      <c r="AH20" s="231">
        <v>1</v>
      </c>
      <c r="AI20" s="231"/>
      <c r="AJ20" s="231"/>
      <c r="AK20" s="231"/>
      <c r="AL20" s="231"/>
      <c r="AM20" s="225">
        <f t="shared" si="0"/>
        <v>5661.315734385158</v>
      </c>
      <c r="AN20" s="225"/>
      <c r="AO20" s="225"/>
      <c r="AP20" s="225"/>
      <c r="AQ20" s="225"/>
      <c r="AR20" s="225"/>
      <c r="AS20" s="225"/>
      <c r="AT20" s="225">
        <f t="shared" si="1"/>
        <v>2046.2542656148435</v>
      </c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6">
        <f>Cronograma!P17</f>
        <v>7707.5700000000015</v>
      </c>
      <c r="BP20" s="226"/>
      <c r="BQ20" s="226"/>
      <c r="BR20" s="226"/>
      <c r="BS20" s="226"/>
      <c r="BT20" s="226"/>
      <c r="BU20" s="226"/>
      <c r="BV20" s="125">
        <f t="shared" si="2"/>
        <v>2.91506800796625</v>
      </c>
      <c r="BW20" s="122">
        <v>10</v>
      </c>
      <c r="BX20" s="142" t="s">
        <v>311</v>
      </c>
      <c r="BY20" s="127"/>
      <c r="BZ20" s="128"/>
      <c r="CA20" s="129" t="e">
        <f>#N/A</f>
        <v>#N/A</v>
      </c>
      <c r="CB20" s="138" t="s">
        <v>312</v>
      </c>
      <c r="CC20" s="123">
        <f aca="true" t="shared" si="3" ref="CC20:CC35">AM20/$BO$36*100</f>
        <v>2.1411573790834373</v>
      </c>
      <c r="CD20" s="123">
        <f aca="true" t="shared" si="4" ref="CD20:CD35">AT20/$BO$36*100</f>
        <v>0.7739106288828129</v>
      </c>
      <c r="CE20" s="123">
        <f aca="true" t="shared" si="5" ref="CE20:CE35">BA20/$BO$36*100</f>
        <v>0</v>
      </c>
    </row>
    <row r="21" spans="1:83" ht="11.25" customHeight="1">
      <c r="A21" s="101"/>
      <c r="B21" s="228" t="s">
        <v>126</v>
      </c>
      <c r="C21" s="228"/>
      <c r="D21" s="228"/>
      <c r="E21" s="228"/>
      <c r="F21" s="228"/>
      <c r="G21" s="229" t="str">
        <f>Cronograma!C18</f>
        <v> Instalações elétricas</v>
      </c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30" t="s">
        <v>95</v>
      </c>
      <c r="AF21" s="230"/>
      <c r="AG21" s="230"/>
      <c r="AH21" s="231">
        <v>1</v>
      </c>
      <c r="AI21" s="231"/>
      <c r="AJ21" s="231"/>
      <c r="AK21" s="231"/>
      <c r="AL21" s="231"/>
      <c r="AM21" s="225">
        <f t="shared" si="0"/>
        <v>5151.003235532835</v>
      </c>
      <c r="AN21" s="225"/>
      <c r="AO21" s="225"/>
      <c r="AP21" s="225"/>
      <c r="AQ21" s="225"/>
      <c r="AR21" s="225"/>
      <c r="AS21" s="225"/>
      <c r="AT21" s="225">
        <f t="shared" si="1"/>
        <v>1861.8043644671652</v>
      </c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6">
        <f>Cronograma!P18</f>
        <v>7012.8076</v>
      </c>
      <c r="BP21" s="226"/>
      <c r="BQ21" s="226"/>
      <c r="BR21" s="226"/>
      <c r="BS21" s="226"/>
      <c r="BT21" s="226"/>
      <c r="BU21" s="226"/>
      <c r="BV21" s="125">
        <f t="shared" si="2"/>
        <v>2.652303006107317</v>
      </c>
      <c r="BW21" s="122">
        <v>11</v>
      </c>
      <c r="BX21" s="143" t="s">
        <v>292</v>
      </c>
      <c r="BY21" s="144" t="e">
        <f>BY10-CA20</f>
        <v>#N/A</v>
      </c>
      <c r="BZ21" s="145" t="e">
        <f>BY21-BY11</f>
        <v>#N/A</v>
      </c>
      <c r="CA21" s="146" t="e">
        <f>BZ21/$BZ$25</f>
        <v>#N/A</v>
      </c>
      <c r="CB21" s="147"/>
      <c r="CC21" s="123">
        <f t="shared" si="3"/>
        <v>1.9481528861667694</v>
      </c>
      <c r="CD21" s="123">
        <f t="shared" si="4"/>
        <v>0.7041501199405479</v>
      </c>
      <c r="CE21" s="123">
        <f t="shared" si="5"/>
        <v>0</v>
      </c>
    </row>
    <row r="22" spans="1:83" ht="11.25" customHeight="1">
      <c r="A22" s="101"/>
      <c r="B22" s="228" t="s">
        <v>149</v>
      </c>
      <c r="C22" s="228"/>
      <c r="D22" s="228"/>
      <c r="E22" s="228"/>
      <c r="F22" s="228"/>
      <c r="G22" s="229" t="str">
        <f>Cronograma!C19</f>
        <v> Revestimentos</v>
      </c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30" t="s">
        <v>95</v>
      </c>
      <c r="AF22" s="230"/>
      <c r="AG22" s="230"/>
      <c r="AH22" s="231">
        <v>1</v>
      </c>
      <c r="AI22" s="231"/>
      <c r="AJ22" s="231"/>
      <c r="AK22" s="231"/>
      <c r="AL22" s="231"/>
      <c r="AM22" s="225">
        <f t="shared" si="0"/>
        <v>30475.66335768247</v>
      </c>
      <c r="AN22" s="225"/>
      <c r="AO22" s="225"/>
      <c r="AP22" s="225"/>
      <c r="AQ22" s="225"/>
      <c r="AR22" s="225"/>
      <c r="AS22" s="225"/>
      <c r="AT22" s="225">
        <f t="shared" si="1"/>
        <v>11015.276142317543</v>
      </c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6">
        <f>Cronograma!P19</f>
        <v>41490.939500000015</v>
      </c>
      <c r="BP22" s="226"/>
      <c r="BQ22" s="226"/>
      <c r="BR22" s="226"/>
      <c r="BS22" s="226"/>
      <c r="BT22" s="226"/>
      <c r="BU22" s="226"/>
      <c r="BV22" s="125">
        <f t="shared" si="2"/>
        <v>15.692223405938995</v>
      </c>
      <c r="BW22" s="122">
        <v>12</v>
      </c>
      <c r="BX22" s="143" t="s">
        <v>313</v>
      </c>
      <c r="BY22" s="144" t="e">
        <f>CA20-CA10-BY14</f>
        <v>#N/A</v>
      </c>
      <c r="BZ22" s="145" t="e">
        <f>BY22-BY13</f>
        <v>#N/A</v>
      </c>
      <c r="CA22" s="146" t="e">
        <f>BZ22/$BZ$25</f>
        <v>#N/A</v>
      </c>
      <c r="CB22" s="148"/>
      <c r="CC22" s="123">
        <f t="shared" si="3"/>
        <v>11.526153025600735</v>
      </c>
      <c r="CD22" s="123">
        <f t="shared" si="4"/>
        <v>4.166070380338259</v>
      </c>
      <c r="CE22" s="123">
        <f t="shared" si="5"/>
        <v>0</v>
      </c>
    </row>
    <row r="23" spans="1:83" ht="11.25" customHeight="1">
      <c r="A23" s="101"/>
      <c r="B23" s="228" t="s">
        <v>167</v>
      </c>
      <c r="C23" s="228"/>
      <c r="D23" s="228"/>
      <c r="E23" s="228"/>
      <c r="F23" s="228"/>
      <c r="G23" s="229" t="str">
        <f>Cronograma!C20</f>
        <v> Pavimentação interna</v>
      </c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30" t="s">
        <v>95</v>
      </c>
      <c r="AF23" s="230"/>
      <c r="AG23" s="230"/>
      <c r="AH23" s="231">
        <v>1</v>
      </c>
      <c r="AI23" s="231"/>
      <c r="AJ23" s="231"/>
      <c r="AK23" s="231"/>
      <c r="AL23" s="231"/>
      <c r="AM23" s="225">
        <f t="shared" si="0"/>
        <v>6389.009324651381</v>
      </c>
      <c r="AN23" s="225"/>
      <c r="AO23" s="225"/>
      <c r="AP23" s="225"/>
      <c r="AQ23" s="225"/>
      <c r="AR23" s="225"/>
      <c r="AS23" s="225"/>
      <c r="AT23" s="225">
        <f t="shared" si="1"/>
        <v>2309.275475348619</v>
      </c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6">
        <f>Cronograma!P20</f>
        <v>8698.2848</v>
      </c>
      <c r="BP23" s="226"/>
      <c r="BQ23" s="226"/>
      <c r="BR23" s="226"/>
      <c r="BS23" s="226"/>
      <c r="BT23" s="226"/>
      <c r="BU23" s="226"/>
      <c r="BV23" s="125">
        <f t="shared" si="2"/>
        <v>3.2897647046551777</v>
      </c>
      <c r="BW23" s="122">
        <v>13</v>
      </c>
      <c r="BX23" s="143" t="s">
        <v>314</v>
      </c>
      <c r="BY23" s="144">
        <f>BY14</f>
        <v>0</v>
      </c>
      <c r="BZ23" s="145">
        <f>BY23-BY14</f>
        <v>0</v>
      </c>
      <c r="CA23" s="146" t="e">
        <f>BZ23/$BZ$25</f>
        <v>#N/A</v>
      </c>
      <c r="CB23" s="148"/>
      <c r="CC23" s="123">
        <f t="shared" si="3"/>
        <v>2.4163772349637167</v>
      </c>
      <c r="CD23" s="123">
        <f t="shared" si="4"/>
        <v>0.8733874696914606</v>
      </c>
      <c r="CE23" s="123">
        <f t="shared" si="5"/>
        <v>0</v>
      </c>
    </row>
    <row r="24" spans="1:83" ht="11.25" customHeight="1">
      <c r="A24" s="101"/>
      <c r="B24" s="228" t="s">
        <v>172</v>
      </c>
      <c r="C24" s="228"/>
      <c r="D24" s="228"/>
      <c r="E24" s="228"/>
      <c r="F24" s="228"/>
      <c r="G24" s="229" t="str">
        <f>Cronograma!C21</f>
        <v> Esquadrias</v>
      </c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30" t="s">
        <v>95</v>
      </c>
      <c r="AF24" s="230"/>
      <c r="AG24" s="230"/>
      <c r="AH24" s="231">
        <v>1</v>
      </c>
      <c r="AI24" s="231"/>
      <c r="AJ24" s="231"/>
      <c r="AK24" s="231"/>
      <c r="AL24" s="231"/>
      <c r="AM24" s="225">
        <f t="shared" si="0"/>
        <v>22551.198542724826</v>
      </c>
      <c r="AN24" s="225"/>
      <c r="AO24" s="225"/>
      <c r="AP24" s="225"/>
      <c r="AQ24" s="225"/>
      <c r="AR24" s="225"/>
      <c r="AS24" s="225"/>
      <c r="AT24" s="225">
        <f t="shared" si="1"/>
        <v>8151.017957275177</v>
      </c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6">
        <f>Cronograma!P21</f>
        <v>30702.216500000002</v>
      </c>
      <c r="BP24" s="226"/>
      <c r="BQ24" s="226"/>
      <c r="BR24" s="226"/>
      <c r="BS24" s="226"/>
      <c r="BT24" s="226"/>
      <c r="BU24" s="226"/>
      <c r="BV24" s="125">
        <f t="shared" si="2"/>
        <v>11.61183733560688</v>
      </c>
      <c r="BW24" s="122">
        <v>14</v>
      </c>
      <c r="BX24" s="143" t="s">
        <v>315</v>
      </c>
      <c r="BY24" s="144">
        <f>CA10</f>
        <v>0</v>
      </c>
      <c r="BZ24" s="145">
        <f>BY24-BY15</f>
        <v>0</v>
      </c>
      <c r="CA24" s="146" t="e">
        <f>BZ24/$BZ$25</f>
        <v>#N/A</v>
      </c>
      <c r="CB24" s="149"/>
      <c r="CC24" s="123">
        <f t="shared" si="3"/>
        <v>8.529053568529672</v>
      </c>
      <c r="CD24" s="123">
        <f t="shared" si="4"/>
        <v>3.0827837670772085</v>
      </c>
      <c r="CE24" s="123">
        <f t="shared" si="5"/>
        <v>0</v>
      </c>
    </row>
    <row r="25" spans="1:83" ht="11.25" customHeight="1">
      <c r="A25" s="101"/>
      <c r="B25" s="228" t="s">
        <v>196</v>
      </c>
      <c r="C25" s="228"/>
      <c r="D25" s="228"/>
      <c r="E25" s="228"/>
      <c r="F25" s="228"/>
      <c r="G25" s="229" t="str">
        <f>Cronograma!C22</f>
        <v> Pintura</v>
      </c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30" t="s">
        <v>95</v>
      </c>
      <c r="AF25" s="230"/>
      <c r="AG25" s="230"/>
      <c r="AH25" s="231">
        <v>1</v>
      </c>
      <c r="AI25" s="231"/>
      <c r="AJ25" s="231"/>
      <c r="AK25" s="231"/>
      <c r="AL25" s="231"/>
      <c r="AM25" s="225">
        <f t="shared" si="0"/>
        <v>16584.510575160948</v>
      </c>
      <c r="AN25" s="225"/>
      <c r="AO25" s="225"/>
      <c r="AP25" s="225"/>
      <c r="AQ25" s="225"/>
      <c r="AR25" s="225"/>
      <c r="AS25" s="225"/>
      <c r="AT25" s="225">
        <f t="shared" si="1"/>
        <v>5994.38842483905</v>
      </c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6">
        <f>Cronograma!P22</f>
        <v>22578.898999999998</v>
      </c>
      <c r="BP25" s="226"/>
      <c r="BQ25" s="226"/>
      <c r="BR25" s="226"/>
      <c r="BS25" s="226"/>
      <c r="BT25" s="226"/>
      <c r="BU25" s="226"/>
      <c r="BV25" s="125">
        <f t="shared" si="2"/>
        <v>8.539530115198582</v>
      </c>
      <c r="BW25" s="122">
        <v>15</v>
      </c>
      <c r="BX25" s="143" t="s">
        <v>316</v>
      </c>
      <c r="BY25" s="144" t="e">
        <f>SUM(BY21:BY24)</f>
        <v>#N/A</v>
      </c>
      <c r="BZ25" s="145" t="e">
        <f>SUM(BZ21:BZ24)</f>
        <v>#N/A</v>
      </c>
      <c r="CA25" s="150" t="e">
        <f>SUM(CA21:CA24)</f>
        <v>#N/A</v>
      </c>
      <c r="CB25" s="137"/>
      <c r="CC25" s="123">
        <f t="shared" si="3"/>
        <v>6.272401834226563</v>
      </c>
      <c r="CD25" s="123">
        <f t="shared" si="4"/>
        <v>2.2671282809720203</v>
      </c>
      <c r="CE25" s="123">
        <f t="shared" si="5"/>
        <v>0</v>
      </c>
    </row>
    <row r="26" spans="1:83" ht="11.25" customHeight="1">
      <c r="A26" s="101"/>
      <c r="B26" s="228" t="s">
        <v>208</v>
      </c>
      <c r="C26" s="228"/>
      <c r="D26" s="228"/>
      <c r="E26" s="228"/>
      <c r="F26" s="228"/>
      <c r="G26" s="229" t="str">
        <f>Cronograma!C23</f>
        <v> Pavimentação externa</v>
      </c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30" t="s">
        <v>95</v>
      </c>
      <c r="AF26" s="230"/>
      <c r="AG26" s="230"/>
      <c r="AH26" s="231">
        <v>1</v>
      </c>
      <c r="AI26" s="231"/>
      <c r="AJ26" s="231"/>
      <c r="AK26" s="231"/>
      <c r="AL26" s="231"/>
      <c r="AM26" s="225">
        <f t="shared" si="0"/>
        <v>1531.2451108932055</v>
      </c>
      <c r="AN26" s="225"/>
      <c r="AO26" s="225"/>
      <c r="AP26" s="225"/>
      <c r="AQ26" s="225"/>
      <c r="AR26" s="225"/>
      <c r="AS26" s="225"/>
      <c r="AT26" s="225">
        <f t="shared" si="1"/>
        <v>553.4608891067946</v>
      </c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6">
        <f>Cronograma!P23</f>
        <v>2084.706</v>
      </c>
      <c r="BP26" s="226"/>
      <c r="BQ26" s="226"/>
      <c r="BR26" s="226"/>
      <c r="BS26" s="226"/>
      <c r="BT26" s="226"/>
      <c r="BU26" s="226"/>
      <c r="BV26" s="125">
        <f t="shared" si="2"/>
        <v>0.7884533992704948</v>
      </c>
      <c r="BW26" s="122">
        <v>16</v>
      </c>
      <c r="BX26" s="151"/>
      <c r="BY26" s="89"/>
      <c r="BZ26" s="152"/>
      <c r="CA26" s="152"/>
      <c r="CB26" s="137"/>
      <c r="CC26" s="123">
        <f t="shared" si="3"/>
        <v>0.5791298210875173</v>
      </c>
      <c r="CD26" s="123">
        <f t="shared" si="4"/>
        <v>0.2093235781829777</v>
      </c>
      <c r="CE26" s="123">
        <f t="shared" si="5"/>
        <v>0</v>
      </c>
    </row>
    <row r="27" spans="1:83" ht="11.25" customHeight="1">
      <c r="A27" s="101"/>
      <c r="B27" s="228" t="s">
        <v>213</v>
      </c>
      <c r="C27" s="228"/>
      <c r="D27" s="228"/>
      <c r="E27" s="228"/>
      <c r="F27" s="228"/>
      <c r="G27" s="229" t="str">
        <f>Cronograma!C24</f>
        <v> Drenagem pluvial</v>
      </c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30" t="s">
        <v>95</v>
      </c>
      <c r="AF27" s="230"/>
      <c r="AG27" s="230"/>
      <c r="AH27" s="231">
        <v>1</v>
      </c>
      <c r="AI27" s="231"/>
      <c r="AJ27" s="231"/>
      <c r="AK27" s="231"/>
      <c r="AL27" s="231"/>
      <c r="AM27" s="225">
        <f t="shared" si="0"/>
        <v>1338.1664334585678</v>
      </c>
      <c r="AN27" s="225"/>
      <c r="AO27" s="225"/>
      <c r="AP27" s="225"/>
      <c r="AQ27" s="225"/>
      <c r="AR27" s="225"/>
      <c r="AS27" s="225"/>
      <c r="AT27" s="225">
        <f t="shared" si="1"/>
        <v>483.67356654143214</v>
      </c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6">
        <f>Cronograma!P24</f>
        <v>1821.84</v>
      </c>
      <c r="BP27" s="226"/>
      <c r="BQ27" s="226"/>
      <c r="BR27" s="226"/>
      <c r="BS27" s="226"/>
      <c r="BT27" s="226"/>
      <c r="BU27" s="226"/>
      <c r="BV27" s="125">
        <f t="shared" si="2"/>
        <v>0.68903526009277</v>
      </c>
      <c r="BW27" s="122">
        <v>28</v>
      </c>
      <c r="BX27" s="151"/>
      <c r="BY27" s="152"/>
      <c r="BZ27" s="153"/>
      <c r="CA27" s="152"/>
      <c r="CC27" s="123">
        <f t="shared" si="3"/>
        <v>0.5061058361467191</v>
      </c>
      <c r="CD27" s="123">
        <f t="shared" si="4"/>
        <v>0.18292942394605094</v>
      </c>
      <c r="CE27" s="123">
        <f t="shared" si="5"/>
        <v>0</v>
      </c>
    </row>
    <row r="28" spans="1:83" ht="11.25" customHeight="1">
      <c r="A28" s="101"/>
      <c r="B28" s="228" t="s">
        <v>224</v>
      </c>
      <c r="C28" s="228"/>
      <c r="D28" s="228"/>
      <c r="E28" s="228"/>
      <c r="F28" s="228"/>
      <c r="G28" s="229" t="str">
        <f>Cronograma!C25</f>
        <v> Limpeza geral</v>
      </c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30" t="s">
        <v>95</v>
      </c>
      <c r="AF28" s="230"/>
      <c r="AG28" s="230"/>
      <c r="AH28" s="231">
        <v>1</v>
      </c>
      <c r="AI28" s="231"/>
      <c r="AJ28" s="231"/>
      <c r="AK28" s="231"/>
      <c r="AL28" s="231"/>
      <c r="AM28" s="225">
        <f t="shared" si="0"/>
        <v>218.49762568447494</v>
      </c>
      <c r="AN28" s="225"/>
      <c r="AO28" s="225"/>
      <c r="AP28" s="225"/>
      <c r="AQ28" s="225"/>
      <c r="AR28" s="225"/>
      <c r="AS28" s="225"/>
      <c r="AT28" s="225">
        <f t="shared" si="1"/>
        <v>78.97487431552503</v>
      </c>
      <c r="AU28" s="225"/>
      <c r="AV28" s="225"/>
      <c r="AW28" s="225"/>
      <c r="AX28" s="225"/>
      <c r="AY28" s="225"/>
      <c r="AZ28" s="22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26">
        <f>Cronograma!P25</f>
        <v>297.47249999999997</v>
      </c>
      <c r="BP28" s="226"/>
      <c r="BQ28" s="226"/>
      <c r="BR28" s="226"/>
      <c r="BS28" s="226"/>
      <c r="BT28" s="226"/>
      <c r="BU28" s="226"/>
      <c r="BV28" s="125">
        <f t="shared" si="2"/>
        <v>0.11250660947610466</v>
      </c>
      <c r="BW28" s="122">
        <v>29</v>
      </c>
      <c r="BX28" s="151"/>
      <c r="BY28" s="152"/>
      <c r="BZ28" s="153"/>
      <c r="CA28" s="152"/>
      <c r="CC28" s="123">
        <f t="shared" si="3"/>
        <v>0.08263764564569606</v>
      </c>
      <c r="CD28" s="123">
        <f t="shared" si="4"/>
        <v>0.029868963830408605</v>
      </c>
      <c r="CE28" s="123">
        <f t="shared" si="5"/>
        <v>0</v>
      </c>
    </row>
    <row r="29" spans="1:83" ht="11.25" customHeight="1">
      <c r="A29" s="101"/>
      <c r="B29" s="236"/>
      <c r="C29" s="236"/>
      <c r="D29" s="236"/>
      <c r="E29" s="236"/>
      <c r="F29" s="236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8"/>
      <c r="AF29" s="238"/>
      <c r="AG29" s="238"/>
      <c r="AH29" s="239"/>
      <c r="AI29" s="239"/>
      <c r="AJ29" s="239"/>
      <c r="AK29" s="239"/>
      <c r="AL29" s="239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40"/>
      <c r="BP29" s="240"/>
      <c r="BQ29" s="240"/>
      <c r="BR29" s="240"/>
      <c r="BS29" s="240"/>
      <c r="BT29" s="240"/>
      <c r="BU29" s="240"/>
      <c r="BV29" s="154"/>
      <c r="BW29" s="122">
        <v>34</v>
      </c>
      <c r="BX29" s="151"/>
      <c r="BY29" s="152"/>
      <c r="BZ29" s="153"/>
      <c r="CA29" s="152"/>
      <c r="CC29" s="123">
        <f t="shared" si="3"/>
        <v>0</v>
      </c>
      <c r="CD29" s="123">
        <f t="shared" si="4"/>
        <v>0</v>
      </c>
      <c r="CE29" s="123">
        <f t="shared" si="5"/>
        <v>0</v>
      </c>
    </row>
    <row r="30" spans="1:83" ht="11.25" customHeight="1">
      <c r="A30" s="101"/>
      <c r="B30" s="236"/>
      <c r="C30" s="236"/>
      <c r="D30" s="236"/>
      <c r="E30" s="236"/>
      <c r="F30" s="236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8"/>
      <c r="AF30" s="238"/>
      <c r="AG30" s="238"/>
      <c r="AH30" s="239"/>
      <c r="AI30" s="239"/>
      <c r="AJ30" s="239"/>
      <c r="AK30" s="239"/>
      <c r="AL30" s="239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40"/>
      <c r="BP30" s="240"/>
      <c r="BQ30" s="240"/>
      <c r="BR30" s="240"/>
      <c r="BS30" s="240"/>
      <c r="BT30" s="240"/>
      <c r="BU30" s="240"/>
      <c r="BV30" s="154"/>
      <c r="BW30" s="122">
        <v>35</v>
      </c>
      <c r="BX30" s="151"/>
      <c r="BY30" s="152"/>
      <c r="BZ30" s="153"/>
      <c r="CA30" s="152"/>
      <c r="CC30" s="123">
        <f t="shared" si="3"/>
        <v>0</v>
      </c>
      <c r="CD30" s="123">
        <f t="shared" si="4"/>
        <v>0</v>
      </c>
      <c r="CE30" s="123">
        <f t="shared" si="5"/>
        <v>0</v>
      </c>
    </row>
    <row r="31" spans="1:83" s="156" customFormat="1" ht="11.25" customHeight="1">
      <c r="A31" s="155"/>
      <c r="B31" s="236"/>
      <c r="C31" s="236"/>
      <c r="D31" s="236"/>
      <c r="E31" s="236"/>
      <c r="F31" s="236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8"/>
      <c r="AF31" s="238"/>
      <c r="AG31" s="238"/>
      <c r="AH31" s="239"/>
      <c r="AI31" s="239"/>
      <c r="AJ31" s="239"/>
      <c r="AK31" s="239"/>
      <c r="AL31" s="239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40"/>
      <c r="BP31" s="240"/>
      <c r="BQ31" s="240"/>
      <c r="BR31" s="240"/>
      <c r="BS31" s="240"/>
      <c r="BT31" s="240"/>
      <c r="BU31" s="240"/>
      <c r="BV31" s="154"/>
      <c r="BW31" s="122">
        <v>36</v>
      </c>
      <c r="BX31" s="151"/>
      <c r="BY31" s="152"/>
      <c r="BZ31" s="153"/>
      <c r="CA31" s="152"/>
      <c r="CC31" s="123">
        <f t="shared" si="3"/>
        <v>0</v>
      </c>
      <c r="CD31" s="123">
        <f t="shared" si="4"/>
        <v>0</v>
      </c>
      <c r="CE31" s="123">
        <f t="shared" si="5"/>
        <v>0</v>
      </c>
    </row>
    <row r="32" spans="1:83" ht="12.75" customHeight="1" hidden="1">
      <c r="A32" s="101"/>
      <c r="B32" s="236"/>
      <c r="C32" s="236"/>
      <c r="D32" s="236"/>
      <c r="E32" s="236"/>
      <c r="F32" s="236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8"/>
      <c r="AF32" s="238"/>
      <c r="AG32" s="238"/>
      <c r="AH32" s="239"/>
      <c r="AI32" s="239"/>
      <c r="AJ32" s="239"/>
      <c r="AK32" s="239"/>
      <c r="AL32" s="239"/>
      <c r="AM32" s="235">
        <v>0</v>
      </c>
      <c r="AN32" s="235"/>
      <c r="AO32" s="235"/>
      <c r="AP32" s="235"/>
      <c r="AQ32" s="235"/>
      <c r="AR32" s="235"/>
      <c r="AS32" s="235"/>
      <c r="AT32" s="235">
        <v>0</v>
      </c>
      <c r="AU32" s="235"/>
      <c r="AV32" s="235"/>
      <c r="AW32" s="235"/>
      <c r="AX32" s="235"/>
      <c r="AY32" s="235"/>
      <c r="AZ32" s="235"/>
      <c r="BA32" s="235">
        <v>0</v>
      </c>
      <c r="BB32" s="235"/>
      <c r="BC32" s="235"/>
      <c r="BD32" s="235"/>
      <c r="BE32" s="235"/>
      <c r="BF32" s="235"/>
      <c r="BG32" s="235"/>
      <c r="BH32" s="235">
        <v>0</v>
      </c>
      <c r="BI32" s="235"/>
      <c r="BJ32" s="235"/>
      <c r="BK32" s="235"/>
      <c r="BL32" s="235"/>
      <c r="BM32" s="235"/>
      <c r="BN32" s="235"/>
      <c r="BO32" s="240">
        <f>SUM(AM32:BN32)</f>
        <v>0</v>
      </c>
      <c r="BP32" s="240"/>
      <c r="BQ32" s="240"/>
      <c r="BR32" s="240"/>
      <c r="BS32" s="240"/>
      <c r="BT32" s="240"/>
      <c r="BU32" s="240"/>
      <c r="BV32" s="154">
        <f>IF(BO32=0,0,BO32*100/$BO$36)</f>
        <v>0</v>
      </c>
      <c r="BW32" s="122">
        <v>37</v>
      </c>
      <c r="BX32" s="151"/>
      <c r="BY32" s="152"/>
      <c r="BZ32" s="153"/>
      <c r="CA32" s="152"/>
      <c r="CC32" s="123">
        <f t="shared" si="3"/>
        <v>0</v>
      </c>
      <c r="CD32" s="123">
        <f t="shared" si="4"/>
        <v>0</v>
      </c>
      <c r="CE32" s="123">
        <f t="shared" si="5"/>
        <v>0</v>
      </c>
    </row>
    <row r="33" spans="1:83" ht="12.75" customHeight="1" hidden="1">
      <c r="A33" s="101"/>
      <c r="B33" s="236"/>
      <c r="C33" s="236"/>
      <c r="D33" s="236"/>
      <c r="E33" s="236"/>
      <c r="F33" s="236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8"/>
      <c r="AF33" s="238"/>
      <c r="AG33" s="238"/>
      <c r="AH33" s="239"/>
      <c r="AI33" s="239"/>
      <c r="AJ33" s="239"/>
      <c r="AK33" s="239"/>
      <c r="AL33" s="239"/>
      <c r="AM33" s="235">
        <v>0</v>
      </c>
      <c r="AN33" s="235"/>
      <c r="AO33" s="235"/>
      <c r="AP33" s="235"/>
      <c r="AQ33" s="235"/>
      <c r="AR33" s="235"/>
      <c r="AS33" s="235"/>
      <c r="AT33" s="235">
        <v>0</v>
      </c>
      <c r="AU33" s="235"/>
      <c r="AV33" s="235"/>
      <c r="AW33" s="235"/>
      <c r="AX33" s="235"/>
      <c r="AY33" s="235"/>
      <c r="AZ33" s="235"/>
      <c r="BA33" s="235">
        <v>0</v>
      </c>
      <c r="BB33" s="235"/>
      <c r="BC33" s="235"/>
      <c r="BD33" s="235"/>
      <c r="BE33" s="235"/>
      <c r="BF33" s="235"/>
      <c r="BG33" s="235"/>
      <c r="BH33" s="235">
        <v>0</v>
      </c>
      <c r="BI33" s="235"/>
      <c r="BJ33" s="235"/>
      <c r="BK33" s="235"/>
      <c r="BL33" s="235"/>
      <c r="BM33" s="235"/>
      <c r="BN33" s="235"/>
      <c r="BO33" s="240">
        <f>SUM(AM33:BN33)</f>
        <v>0</v>
      </c>
      <c r="BP33" s="240"/>
      <c r="BQ33" s="240"/>
      <c r="BR33" s="240"/>
      <c r="BS33" s="240"/>
      <c r="BT33" s="240"/>
      <c r="BU33" s="240"/>
      <c r="BV33" s="154">
        <f>IF(BO33=0,0,BO33*100/$BO$36)</f>
        <v>0</v>
      </c>
      <c r="BW33" s="122">
        <v>38</v>
      </c>
      <c r="BX33" s="151"/>
      <c r="BY33" s="152"/>
      <c r="BZ33" s="153"/>
      <c r="CA33" s="152"/>
      <c r="CC33" s="123">
        <f t="shared" si="3"/>
        <v>0</v>
      </c>
      <c r="CD33" s="123">
        <f t="shared" si="4"/>
        <v>0</v>
      </c>
      <c r="CE33" s="123">
        <f t="shared" si="5"/>
        <v>0</v>
      </c>
    </row>
    <row r="34" spans="1:83" ht="12.75" customHeight="1" hidden="1">
      <c r="A34" s="101"/>
      <c r="B34" s="236"/>
      <c r="C34" s="236"/>
      <c r="D34" s="236"/>
      <c r="E34" s="236"/>
      <c r="F34" s="236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8"/>
      <c r="AF34" s="238"/>
      <c r="AG34" s="238"/>
      <c r="AH34" s="239"/>
      <c r="AI34" s="239"/>
      <c r="AJ34" s="239"/>
      <c r="AK34" s="239"/>
      <c r="AL34" s="239"/>
      <c r="AM34" s="235">
        <v>0</v>
      </c>
      <c r="AN34" s="235"/>
      <c r="AO34" s="235"/>
      <c r="AP34" s="235"/>
      <c r="AQ34" s="235"/>
      <c r="AR34" s="235"/>
      <c r="AS34" s="235"/>
      <c r="AT34" s="235">
        <v>0</v>
      </c>
      <c r="AU34" s="235"/>
      <c r="AV34" s="235"/>
      <c r="AW34" s="235"/>
      <c r="AX34" s="235"/>
      <c r="AY34" s="235"/>
      <c r="AZ34" s="235"/>
      <c r="BA34" s="235">
        <v>0</v>
      </c>
      <c r="BB34" s="235"/>
      <c r="BC34" s="235"/>
      <c r="BD34" s="235"/>
      <c r="BE34" s="235"/>
      <c r="BF34" s="235"/>
      <c r="BG34" s="235"/>
      <c r="BH34" s="235">
        <v>0</v>
      </c>
      <c r="BI34" s="235"/>
      <c r="BJ34" s="235"/>
      <c r="BK34" s="235"/>
      <c r="BL34" s="235"/>
      <c r="BM34" s="235"/>
      <c r="BN34" s="235"/>
      <c r="BO34" s="240">
        <f>SUM(AM34:BN34)</f>
        <v>0</v>
      </c>
      <c r="BP34" s="240"/>
      <c r="BQ34" s="240"/>
      <c r="BR34" s="240"/>
      <c r="BS34" s="240"/>
      <c r="BT34" s="240"/>
      <c r="BU34" s="240"/>
      <c r="BV34" s="154">
        <f>IF(BO34=0,0,BO34*100/$BO$36)</f>
        <v>0</v>
      </c>
      <c r="BW34" s="122">
        <v>39</v>
      </c>
      <c r="BX34" s="151"/>
      <c r="BY34" s="152"/>
      <c r="BZ34" s="153"/>
      <c r="CA34" s="152"/>
      <c r="CC34" s="123">
        <f t="shared" si="3"/>
        <v>0</v>
      </c>
      <c r="CD34" s="123">
        <f t="shared" si="4"/>
        <v>0</v>
      </c>
      <c r="CE34" s="123">
        <f t="shared" si="5"/>
        <v>0</v>
      </c>
    </row>
    <row r="35" spans="1:83" ht="12.75" customHeight="1" hidden="1">
      <c r="A35" s="101"/>
      <c r="B35" s="236"/>
      <c r="C35" s="236"/>
      <c r="D35" s="236"/>
      <c r="E35" s="236"/>
      <c r="F35" s="236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42"/>
      <c r="AF35" s="242"/>
      <c r="AG35" s="242"/>
      <c r="AH35" s="243"/>
      <c r="AI35" s="243"/>
      <c r="AJ35" s="243"/>
      <c r="AK35" s="243"/>
      <c r="AL35" s="243"/>
      <c r="AM35" s="241">
        <v>0</v>
      </c>
      <c r="AN35" s="241"/>
      <c r="AO35" s="241"/>
      <c r="AP35" s="241"/>
      <c r="AQ35" s="241"/>
      <c r="AR35" s="241"/>
      <c r="AS35" s="241"/>
      <c r="AT35" s="241">
        <v>0</v>
      </c>
      <c r="AU35" s="241"/>
      <c r="AV35" s="241"/>
      <c r="AW35" s="241"/>
      <c r="AX35" s="241"/>
      <c r="AY35" s="241"/>
      <c r="AZ35" s="241"/>
      <c r="BA35" s="241">
        <v>0</v>
      </c>
      <c r="BB35" s="241"/>
      <c r="BC35" s="241"/>
      <c r="BD35" s="241"/>
      <c r="BE35" s="241"/>
      <c r="BF35" s="241"/>
      <c r="BG35" s="241"/>
      <c r="BH35" s="241">
        <v>0</v>
      </c>
      <c r="BI35" s="241"/>
      <c r="BJ35" s="241"/>
      <c r="BK35" s="241"/>
      <c r="BL35" s="241"/>
      <c r="BM35" s="241"/>
      <c r="BN35" s="241"/>
      <c r="BO35" s="244">
        <f>SUM(AM35:BN35)</f>
        <v>0</v>
      </c>
      <c r="BP35" s="244"/>
      <c r="BQ35" s="244"/>
      <c r="BR35" s="244"/>
      <c r="BS35" s="244"/>
      <c r="BT35" s="244"/>
      <c r="BU35" s="244"/>
      <c r="BV35" s="157">
        <f>IF(BO35=0,0,BO35*100/$BO$36)</f>
        <v>0</v>
      </c>
      <c r="BW35" s="122">
        <v>40</v>
      </c>
      <c r="BX35" s="151"/>
      <c r="BY35" s="152"/>
      <c r="BZ35" s="153"/>
      <c r="CA35" s="152"/>
      <c r="CC35" s="123">
        <f t="shared" si="3"/>
        <v>0</v>
      </c>
      <c r="CD35" s="123">
        <f t="shared" si="4"/>
        <v>0</v>
      </c>
      <c r="CE35" s="123">
        <f t="shared" si="5"/>
        <v>0</v>
      </c>
    </row>
    <row r="36" spans="1:84" ht="11.25" customHeight="1">
      <c r="A36" s="101"/>
      <c r="B36" s="245" t="s">
        <v>317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6">
        <f>SUM(AM9:AS31)</f>
        <v>194208.70178376653</v>
      </c>
      <c r="AN36" s="246"/>
      <c r="AO36" s="246"/>
      <c r="AP36" s="246"/>
      <c r="AQ36" s="246"/>
      <c r="AR36" s="246"/>
      <c r="AS36" s="246"/>
      <c r="AT36" s="246">
        <f>SUM(AT9:AZ31)</f>
        <v>70195.7642162335</v>
      </c>
      <c r="AU36" s="246"/>
      <c r="AV36" s="246"/>
      <c r="AW36" s="246"/>
      <c r="AX36" s="246"/>
      <c r="AY36" s="246"/>
      <c r="AZ36" s="246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>
        <f>SUM(BO9:BU35)</f>
        <v>264404.466</v>
      </c>
      <c r="BP36" s="247"/>
      <c r="BQ36" s="247"/>
      <c r="BR36" s="247"/>
      <c r="BS36" s="247"/>
      <c r="BT36" s="247"/>
      <c r="BU36" s="247"/>
      <c r="BV36" s="158">
        <f>SUM(BV9:BV35)</f>
        <v>100</v>
      </c>
      <c r="BX36" s="159"/>
      <c r="BY36" s="152"/>
      <c r="BZ36" s="152"/>
      <c r="CA36" s="152"/>
      <c r="CC36" s="123">
        <f>SUM(CC9:CC35)</f>
        <v>61.78465227999676</v>
      </c>
      <c r="CD36" s="123">
        <f>SUM(CD9:CD35)</f>
        <v>22.331753643343433</v>
      </c>
      <c r="CE36" s="123">
        <f>SUM(CE9:CE35)</f>
        <v>0</v>
      </c>
      <c r="CF36" s="160">
        <f>SUM(CC36:CE36)</f>
        <v>84.1164059233402</v>
      </c>
    </row>
    <row r="37" spans="1:84" ht="9.75" customHeight="1">
      <c r="A37" s="101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2"/>
      <c r="BP37" s="162"/>
      <c r="BQ37" s="162"/>
      <c r="BR37" s="162"/>
      <c r="BS37" s="162"/>
      <c r="BT37" s="162"/>
      <c r="BU37" s="162"/>
      <c r="BV37" s="163"/>
      <c r="BX37" s="159"/>
      <c r="BY37" s="152"/>
      <c r="BZ37" s="152"/>
      <c r="CA37" s="152"/>
      <c r="CC37" s="123"/>
      <c r="CD37" s="123"/>
      <c r="CE37" s="123"/>
      <c r="CF37" s="160"/>
    </row>
    <row r="38" spans="1:84" ht="9.75" customHeight="1">
      <c r="A38" s="101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3"/>
      <c r="BX38" s="159"/>
      <c r="BY38" s="152"/>
      <c r="BZ38" s="152"/>
      <c r="CA38" s="152"/>
      <c r="CC38" s="123"/>
      <c r="CD38" s="123"/>
      <c r="CE38" s="123"/>
      <c r="CF38" s="160"/>
    </row>
    <row r="39" spans="1:83" s="166" customFormat="1" ht="9.75" customHeight="1">
      <c r="A39" s="101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5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01"/>
      <c r="BO39" s="249"/>
      <c r="BP39" s="249"/>
      <c r="BQ39" s="249"/>
      <c r="BR39" s="249"/>
      <c r="BS39" s="249"/>
      <c r="BT39" s="249"/>
      <c r="BU39" s="249"/>
      <c r="BX39" s="102"/>
      <c r="BY39" s="101"/>
      <c r="BZ39" s="101"/>
      <c r="CA39" s="101"/>
      <c r="CC39" s="118"/>
      <c r="CD39" s="118"/>
      <c r="CE39" s="118"/>
    </row>
    <row r="40" spans="1:74" s="165" customFormat="1" ht="17.25" customHeight="1">
      <c r="A40" s="167"/>
      <c r="C40" s="250" t="s">
        <v>318</v>
      </c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168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BA40" s="169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</row>
    <row r="41" spans="1:74" s="173" customFormat="1" ht="7.5" customHeight="1">
      <c r="A41" s="167"/>
      <c r="B41" s="170"/>
      <c r="C41" s="171" t="s">
        <v>319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AA41" s="248" t="s">
        <v>320</v>
      </c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BB41" s="248" t="s">
        <v>321</v>
      </c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</row>
    <row r="42" spans="1:83" s="166" customFormat="1" ht="9.75" customHeight="1">
      <c r="A42" s="101"/>
      <c r="B42" s="117"/>
      <c r="C42" s="117"/>
      <c r="D42" s="117"/>
      <c r="E42" s="117"/>
      <c r="F42" s="117"/>
      <c r="G42" s="118"/>
      <c r="H42" s="118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01"/>
      <c r="BX42" s="174"/>
      <c r="CC42" s="118"/>
      <c r="CD42" s="118"/>
      <c r="CE42" s="118"/>
    </row>
    <row r="43" spans="1:83" s="166" customFormat="1" ht="9.75" customHeight="1">
      <c r="A43" s="101"/>
      <c r="G43" s="118"/>
      <c r="H43" s="118"/>
      <c r="BL43" s="101"/>
      <c r="BX43" s="174"/>
      <c r="CC43" s="118"/>
      <c r="CD43" s="118"/>
      <c r="CE43" s="118"/>
    </row>
    <row r="44" ht="9.75" customHeight="1">
      <c r="BL44" s="90"/>
    </row>
    <row r="45" ht="9.75" customHeight="1">
      <c r="BL45" s="90"/>
    </row>
    <row r="46" ht="9.75" customHeight="1">
      <c r="BL46" s="90"/>
    </row>
  </sheetData>
  <sheetProtection/>
  <mergeCells count="269">
    <mergeCell ref="AA41:AY41"/>
    <mergeCell ref="BB41:BV41"/>
    <mergeCell ref="BO39:BU39"/>
    <mergeCell ref="C40:Y40"/>
    <mergeCell ref="AA40:AY40"/>
    <mergeCell ref="BB40:BV40"/>
    <mergeCell ref="BO35:BU35"/>
    <mergeCell ref="B36:AL36"/>
    <mergeCell ref="AM36:AS36"/>
    <mergeCell ref="AT36:AZ36"/>
    <mergeCell ref="BA36:BG36"/>
    <mergeCell ref="BH36:BN36"/>
    <mergeCell ref="BO36:BU36"/>
    <mergeCell ref="AM35:AS35"/>
    <mergeCell ref="AT35:AZ35"/>
    <mergeCell ref="BA35:BG35"/>
    <mergeCell ref="BH35:BN35"/>
    <mergeCell ref="B35:F35"/>
    <mergeCell ref="G35:AD35"/>
    <mergeCell ref="AE35:AG35"/>
    <mergeCell ref="AH35:AL35"/>
    <mergeCell ref="BO33:BU33"/>
    <mergeCell ref="B34:F34"/>
    <mergeCell ref="G34:AD34"/>
    <mergeCell ref="AE34:AG34"/>
    <mergeCell ref="AH34:AL34"/>
    <mergeCell ref="AM34:AS34"/>
    <mergeCell ref="AT34:AZ34"/>
    <mergeCell ref="BA34:BG34"/>
    <mergeCell ref="BH34:BN34"/>
    <mergeCell ref="BO34:BU34"/>
    <mergeCell ref="AM33:AS33"/>
    <mergeCell ref="AT33:AZ33"/>
    <mergeCell ref="BA33:BG33"/>
    <mergeCell ref="BH33:BN33"/>
    <mergeCell ref="B33:F33"/>
    <mergeCell ref="G33:AD33"/>
    <mergeCell ref="AE33:AG33"/>
    <mergeCell ref="AH33:AL33"/>
    <mergeCell ref="BO31:BU31"/>
    <mergeCell ref="B32:F32"/>
    <mergeCell ref="G32:AD32"/>
    <mergeCell ref="AE32:AG32"/>
    <mergeCell ref="AH32:AL32"/>
    <mergeCell ref="AM32:AS32"/>
    <mergeCell ref="AT32:AZ32"/>
    <mergeCell ref="BA32:BG32"/>
    <mergeCell ref="BH32:BN32"/>
    <mergeCell ref="BO32:BU32"/>
    <mergeCell ref="AM31:AS31"/>
    <mergeCell ref="AT31:AZ31"/>
    <mergeCell ref="BA31:BG31"/>
    <mergeCell ref="BH31:BN31"/>
    <mergeCell ref="B31:F31"/>
    <mergeCell ref="G31:AD31"/>
    <mergeCell ref="AE31:AG31"/>
    <mergeCell ref="AH31:AL31"/>
    <mergeCell ref="BO29:BU29"/>
    <mergeCell ref="B30:F30"/>
    <mergeCell ref="G30:AD30"/>
    <mergeCell ref="AE30:AG30"/>
    <mergeCell ref="AH30:AL30"/>
    <mergeCell ref="AM30:AS30"/>
    <mergeCell ref="AT30:AZ30"/>
    <mergeCell ref="BA30:BG30"/>
    <mergeCell ref="BH30:BN30"/>
    <mergeCell ref="BO30:BU30"/>
    <mergeCell ref="AM29:AS29"/>
    <mergeCell ref="AT29:AZ29"/>
    <mergeCell ref="BA29:BG29"/>
    <mergeCell ref="BH29:BN29"/>
    <mergeCell ref="B29:F29"/>
    <mergeCell ref="G29:AD29"/>
    <mergeCell ref="AE29:AG29"/>
    <mergeCell ref="AH29:AL29"/>
    <mergeCell ref="BO27:BU27"/>
    <mergeCell ref="B28:F28"/>
    <mergeCell ref="G28:AD28"/>
    <mergeCell ref="AE28:AG28"/>
    <mergeCell ref="AH28:AL28"/>
    <mergeCell ref="AM28:AS28"/>
    <mergeCell ref="AT28:AZ28"/>
    <mergeCell ref="BA28:BG28"/>
    <mergeCell ref="BH28:BN28"/>
    <mergeCell ref="BO28:BU28"/>
    <mergeCell ref="AM27:AS27"/>
    <mergeCell ref="AT27:AZ27"/>
    <mergeCell ref="BA27:BG27"/>
    <mergeCell ref="BH27:BN27"/>
    <mergeCell ref="B27:F27"/>
    <mergeCell ref="G27:AD27"/>
    <mergeCell ref="AE27:AG27"/>
    <mergeCell ref="AH27:AL27"/>
    <mergeCell ref="BO25:BU25"/>
    <mergeCell ref="B26:F26"/>
    <mergeCell ref="G26:AD26"/>
    <mergeCell ref="AE26:AG26"/>
    <mergeCell ref="AH26:AL26"/>
    <mergeCell ref="AM26:AS26"/>
    <mergeCell ref="AT26:AZ26"/>
    <mergeCell ref="BA26:BG26"/>
    <mergeCell ref="BH26:BN26"/>
    <mergeCell ref="BO26:BU26"/>
    <mergeCell ref="AM25:AS25"/>
    <mergeCell ref="AT25:AZ25"/>
    <mergeCell ref="BA25:BG25"/>
    <mergeCell ref="BH25:BN25"/>
    <mergeCell ref="B25:F25"/>
    <mergeCell ref="G25:AD25"/>
    <mergeCell ref="AE25:AG25"/>
    <mergeCell ref="AH25:AL25"/>
    <mergeCell ref="BO23:BU23"/>
    <mergeCell ref="B24:F24"/>
    <mergeCell ref="G24:AD24"/>
    <mergeCell ref="AE24:AG24"/>
    <mergeCell ref="AH24:AL24"/>
    <mergeCell ref="AM24:AS24"/>
    <mergeCell ref="AT24:AZ24"/>
    <mergeCell ref="BA24:BG24"/>
    <mergeCell ref="BH24:BN24"/>
    <mergeCell ref="BO24:BU24"/>
    <mergeCell ref="AM23:AS23"/>
    <mergeCell ref="AT23:AZ23"/>
    <mergeCell ref="BA23:BG23"/>
    <mergeCell ref="BH23:BN23"/>
    <mergeCell ref="B23:F23"/>
    <mergeCell ref="G23:AD23"/>
    <mergeCell ref="AE23:AG23"/>
    <mergeCell ref="AH23:AL23"/>
    <mergeCell ref="BO21:BU21"/>
    <mergeCell ref="B22:F22"/>
    <mergeCell ref="G22:AD22"/>
    <mergeCell ref="AE22:AG22"/>
    <mergeCell ref="AH22:AL22"/>
    <mergeCell ref="AM22:AS22"/>
    <mergeCell ref="AT22:AZ22"/>
    <mergeCell ref="BA22:BG22"/>
    <mergeCell ref="BH22:BN22"/>
    <mergeCell ref="BO22:BU22"/>
    <mergeCell ref="AM21:AS21"/>
    <mergeCell ref="AT21:AZ21"/>
    <mergeCell ref="BA21:BG21"/>
    <mergeCell ref="BH21:BN21"/>
    <mergeCell ref="B21:F21"/>
    <mergeCell ref="G21:AD21"/>
    <mergeCell ref="AE21:AG21"/>
    <mergeCell ref="AH21:AL21"/>
    <mergeCell ref="BO19:BU19"/>
    <mergeCell ref="B20:F20"/>
    <mergeCell ref="G20:AD20"/>
    <mergeCell ref="AE20:AG20"/>
    <mergeCell ref="AH20:AL20"/>
    <mergeCell ref="AM20:AS20"/>
    <mergeCell ref="AT20:AZ20"/>
    <mergeCell ref="BA20:BG20"/>
    <mergeCell ref="BH20:BN20"/>
    <mergeCell ref="BO20:BU20"/>
    <mergeCell ref="AM19:AR19"/>
    <mergeCell ref="AT19:AZ19"/>
    <mergeCell ref="BB19:BG19"/>
    <mergeCell ref="BI19:BN19"/>
    <mergeCell ref="B19:F19"/>
    <mergeCell ref="G19:AD19"/>
    <mergeCell ref="AE19:AG19"/>
    <mergeCell ref="AH19:AL19"/>
    <mergeCell ref="BO17:BU17"/>
    <mergeCell ref="B18:F18"/>
    <mergeCell ref="G18:AD18"/>
    <mergeCell ref="AE18:AG18"/>
    <mergeCell ref="AH18:AL18"/>
    <mergeCell ref="AM18:AR18"/>
    <mergeCell ref="AT18:AZ18"/>
    <mergeCell ref="BB18:BG18"/>
    <mergeCell ref="BI18:BN18"/>
    <mergeCell ref="BO18:BU18"/>
    <mergeCell ref="AM17:AS17"/>
    <mergeCell ref="AT17:AZ17"/>
    <mergeCell ref="BA17:BG17"/>
    <mergeCell ref="BH17:BN17"/>
    <mergeCell ref="B17:F17"/>
    <mergeCell ref="G17:AD17"/>
    <mergeCell ref="AE17:AG17"/>
    <mergeCell ref="AH17:AL17"/>
    <mergeCell ref="BO15:BU15"/>
    <mergeCell ref="B16:F16"/>
    <mergeCell ref="G16:AD16"/>
    <mergeCell ref="AE16:AG16"/>
    <mergeCell ref="AH16:AL16"/>
    <mergeCell ref="AM16:AS16"/>
    <mergeCell ref="AT16:AZ16"/>
    <mergeCell ref="BA16:BG16"/>
    <mergeCell ref="BH16:BN16"/>
    <mergeCell ref="BO16:BU16"/>
    <mergeCell ref="AM15:AS15"/>
    <mergeCell ref="AT15:AZ15"/>
    <mergeCell ref="BA15:BG15"/>
    <mergeCell ref="BH15:BN15"/>
    <mergeCell ref="B15:F15"/>
    <mergeCell ref="G15:AD15"/>
    <mergeCell ref="AE15:AG15"/>
    <mergeCell ref="AH15:AL15"/>
    <mergeCell ref="BO13:BU13"/>
    <mergeCell ref="B14:F14"/>
    <mergeCell ref="G14:AD14"/>
    <mergeCell ref="AE14:AG14"/>
    <mergeCell ref="AH14:AL14"/>
    <mergeCell ref="AM14:AS14"/>
    <mergeCell ref="AT14:AZ14"/>
    <mergeCell ref="BA14:BG14"/>
    <mergeCell ref="BH14:BN14"/>
    <mergeCell ref="BO14:BU14"/>
    <mergeCell ref="AM13:AS13"/>
    <mergeCell ref="AT13:AZ13"/>
    <mergeCell ref="BA13:BG13"/>
    <mergeCell ref="BH13:BN13"/>
    <mergeCell ref="B13:F13"/>
    <mergeCell ref="G13:AD13"/>
    <mergeCell ref="AE13:AG13"/>
    <mergeCell ref="AH13:AL13"/>
    <mergeCell ref="BO11:BU11"/>
    <mergeCell ref="B12:F12"/>
    <mergeCell ref="G12:AD12"/>
    <mergeCell ref="AE12:AG12"/>
    <mergeCell ref="AH12:AL12"/>
    <mergeCell ref="AM12:AR12"/>
    <mergeCell ref="AT12:AZ12"/>
    <mergeCell ref="BB12:BG12"/>
    <mergeCell ref="BI12:BN12"/>
    <mergeCell ref="BO12:BU12"/>
    <mergeCell ref="AM11:AS11"/>
    <mergeCell ref="AT11:AZ11"/>
    <mergeCell ref="BA11:BG11"/>
    <mergeCell ref="BH11:BN11"/>
    <mergeCell ref="B11:F11"/>
    <mergeCell ref="G11:AD11"/>
    <mergeCell ref="AE11:AG11"/>
    <mergeCell ref="AH11:AL11"/>
    <mergeCell ref="BO9:BU9"/>
    <mergeCell ref="B10:F10"/>
    <mergeCell ref="G10:AD10"/>
    <mergeCell ref="AE10:AG10"/>
    <mergeCell ref="AH10:AL10"/>
    <mergeCell ref="AM10:AS10"/>
    <mergeCell ref="AT10:AZ10"/>
    <mergeCell ref="BA10:BG10"/>
    <mergeCell ref="BH10:BN10"/>
    <mergeCell ref="BO10:BU10"/>
    <mergeCell ref="AM9:AS9"/>
    <mergeCell ref="AT9:AZ9"/>
    <mergeCell ref="BA9:BG9"/>
    <mergeCell ref="BH9:BN9"/>
    <mergeCell ref="B7:F8"/>
    <mergeCell ref="G7:AD8"/>
    <mergeCell ref="AE7:AG8"/>
    <mergeCell ref="AH7:AL8"/>
    <mergeCell ref="B9:F9"/>
    <mergeCell ref="G9:AD9"/>
    <mergeCell ref="AE9:AG9"/>
    <mergeCell ref="AH9:AL9"/>
    <mergeCell ref="BJ1:BU1"/>
    <mergeCell ref="R4:AP4"/>
    <mergeCell ref="AQ4:AY4"/>
    <mergeCell ref="AZ4:BU4"/>
    <mergeCell ref="BH7:BN8"/>
    <mergeCell ref="BO7:BU8"/>
    <mergeCell ref="AT8:AZ8"/>
    <mergeCell ref="BA8:BG8"/>
    <mergeCell ref="AM7:AS8"/>
    <mergeCell ref="AT7:BG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Lothario Becker</dc:creator>
  <cp:keywords/>
  <dc:description/>
  <cp:lastModifiedBy>arquitetura</cp:lastModifiedBy>
  <cp:lastPrinted>2011-02-23T12:23:50Z</cp:lastPrinted>
  <dcterms:created xsi:type="dcterms:W3CDTF">2001-07-11T19:28:41Z</dcterms:created>
  <dcterms:modified xsi:type="dcterms:W3CDTF">2011-02-23T12:23:58Z</dcterms:modified>
  <cp:category/>
  <cp:version/>
  <cp:contentType/>
  <cp:contentStatus/>
  <cp:revision>126</cp:revision>
</cp:coreProperties>
</file>